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comments1.xml" ContentType="application/vnd.openxmlformats-officedocument.spreadsheetml.comments+xml"/>
  <Override PartName="/xl/threadedComments/threadedComment1.xml" ContentType="application/vnd.ms-excel.threadedcomments+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624"/>
  <workbookPr defaultThemeVersion="202300"/>
  <mc:AlternateContent xmlns:mc="http://schemas.openxmlformats.org/markup-compatibility/2006">
    <mc:Choice Requires="x15">
      <x15ac:absPath xmlns:x15ac="http://schemas.microsoft.com/office/spreadsheetml/2010/11/ac" url="https://mypac-my.sharepoint.com/personal/shay_tsaban_pac_org_il/Documents/YVC - Financial Accounting A/2025B/"/>
    </mc:Choice>
  </mc:AlternateContent>
  <xr:revisionPtr revIDLastSave="2394" documentId="13_ncr:1_{8BA02CD0-C7C4-8A41-A21D-4C12DEC0C4F2}" xr6:coauthVersionLast="47" xr6:coauthVersionMax="47" xr10:uidLastSave="{3CCE02E3-BA7B-4245-878E-92D71D3B2822}"/>
  <bookViews>
    <workbookView xWindow="0" yWindow="620" windowWidth="38080" windowHeight="19420" activeTab="16" xr2:uid="{05853DA2-670C-CC48-A4DD-545CEE8F8BED}"/>
  </bookViews>
  <sheets>
    <sheet name="Sheet1" sheetId="1" r:id="rId1"/>
    <sheet name="Sheet2" sheetId="2" r:id="rId2"/>
    <sheet name="Sheet3" sheetId="3" r:id="rId3"/>
    <sheet name="Sheet4" sheetId="4" r:id="rId4"/>
    <sheet name="Sheet5" sheetId="5" r:id="rId5"/>
    <sheet name="Sheet6" sheetId="6" r:id="rId6"/>
    <sheet name="Sheet7" sheetId="7" r:id="rId7"/>
    <sheet name="Lecture 8" sheetId="8" r:id="rId8"/>
    <sheet name="Lecture 8נ" sheetId="9" r:id="rId9"/>
    <sheet name="Lecture 9b" sheetId="10" r:id="rId10"/>
    <sheet name="Lecture9bExercise" sheetId="11" r:id="rId11"/>
    <sheet name="Lecture 9 part C" sheetId="12" r:id="rId12"/>
    <sheet name="Lecture 9 part 3" sheetId="13" r:id="rId13"/>
    <sheet name="Lecture10a" sheetId="14" r:id="rId14"/>
    <sheet name="Lecture 10b" sheetId="15" r:id="rId15"/>
    <sheet name="Lecture 12" sheetId="16" r:id="rId16"/>
    <sheet name="Lecture 13" sheetId="17" r:id="rId17"/>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K104" i="16" l="1"/>
  <c r="E104" i="16"/>
  <c r="M113" i="11"/>
  <c r="M116" i="11" s="1"/>
  <c r="T31" i="11" s="1"/>
  <c r="U31" i="11" s="1"/>
  <c r="M111" i="11"/>
  <c r="M102" i="11"/>
  <c r="M105" i="11" s="1"/>
  <c r="M100" i="11"/>
  <c r="M95" i="11"/>
  <c r="M91" i="11"/>
  <c r="M94" i="11" s="1"/>
  <c r="M96" i="11" s="1"/>
  <c r="M71" i="11"/>
  <c r="M78" i="11" s="1"/>
  <c r="M69" i="11"/>
  <c r="M59" i="11"/>
  <c r="W58" i="11"/>
  <c r="V58" i="11"/>
  <c r="U58" i="11"/>
  <c r="T58" i="11"/>
  <c r="S58" i="11"/>
  <c r="M58" i="11"/>
  <c r="X57" i="11"/>
  <c r="X59" i="11" s="1"/>
  <c r="X61" i="11" s="1"/>
  <c r="U37" i="11" s="1"/>
  <c r="M55" i="11"/>
  <c r="M53" i="11"/>
  <c r="G45" i="11"/>
  <c r="G44" i="11"/>
  <c r="G43" i="11"/>
  <c r="G42" i="11"/>
  <c r="F42" i="11"/>
  <c r="H42" i="11" s="1"/>
  <c r="M29" i="11" s="1"/>
  <c r="T57" i="11" s="1"/>
  <c r="E42" i="11"/>
  <c r="E43" i="11" s="1"/>
  <c r="R31" i="11"/>
  <c r="S31" i="11" s="1"/>
  <c r="P31" i="11"/>
  <c r="Q31" i="11" s="1"/>
  <c r="N31" i="11"/>
  <c r="O31" i="11" s="1"/>
  <c r="L31" i="11"/>
  <c r="M31" i="11" s="1"/>
  <c r="K31" i="11"/>
  <c r="K27" i="11"/>
  <c r="L26" i="11"/>
  <c r="M26" i="11" s="1"/>
  <c r="N26" i="11" s="1"/>
  <c r="I382" i="10"/>
  <c r="G320" i="10"/>
  <c r="G319" i="10"/>
  <c r="G318" i="10"/>
  <c r="H318" i="10"/>
  <c r="T28" i="10"/>
  <c r="T31" i="10"/>
  <c r="T35" i="10"/>
  <c r="T34" i="10"/>
  <c r="T36" i="10"/>
  <c r="T39" i="10" s="1"/>
  <c r="T25" i="10"/>
  <c r="T21" i="10"/>
  <c r="T18" i="10"/>
  <c r="T23" i="10"/>
  <c r="T19" i="10"/>
  <c r="S21" i="10"/>
  <c r="S19" i="10"/>
  <c r="S20" i="10"/>
  <c r="S23" i="10"/>
  <c r="S18" i="10"/>
  <c r="R27" i="10"/>
  <c r="R30" i="10"/>
  <c r="R35" i="10"/>
  <c r="R34" i="10"/>
  <c r="R18" i="10"/>
  <c r="R19" i="10"/>
  <c r="R20" i="10"/>
  <c r="R24" i="10"/>
  <c r="R23" i="10"/>
  <c r="R21" i="10"/>
  <c r="Q21" i="10"/>
  <c r="Q19" i="10"/>
  <c r="Q20" i="10"/>
  <c r="Q23" i="10"/>
  <c r="Q18" i="10"/>
  <c r="P28" i="10"/>
  <c r="P30" i="10"/>
  <c r="P35" i="10"/>
  <c r="P34" i="10"/>
  <c r="P36" i="10" s="1"/>
  <c r="P38" i="10" s="1"/>
  <c r="O20" i="10"/>
  <c r="O23" i="10"/>
  <c r="P19" i="10"/>
  <c r="P18" i="10"/>
  <c r="P20" i="10"/>
  <c r="P25" i="10"/>
  <c r="P23" i="10"/>
  <c r="P21" i="10"/>
  <c r="O21" i="10"/>
  <c r="O19" i="10"/>
  <c r="O18" i="10"/>
  <c r="N30" i="10"/>
  <c r="N27" i="10"/>
  <c r="N38" i="10"/>
  <c r="N36" i="10"/>
  <c r="N35" i="10"/>
  <c r="N34" i="10"/>
  <c r="N20" i="10"/>
  <c r="N24" i="10"/>
  <c r="N23" i="10"/>
  <c r="N19" i="10"/>
  <c r="N18" i="10"/>
  <c r="N21" i="10"/>
  <c r="M21" i="10"/>
  <c r="M19" i="10"/>
  <c r="M23" i="10"/>
  <c r="M18" i="10"/>
  <c r="L27" i="10"/>
  <c r="L30" i="10"/>
  <c r="L38" i="10"/>
  <c r="L36" i="10"/>
  <c r="L35" i="10"/>
  <c r="L34" i="10"/>
  <c r="L21" i="10"/>
  <c r="L19" i="10"/>
  <c r="L23" i="10"/>
  <c r="L18" i="10"/>
  <c r="K27" i="10"/>
  <c r="K30" i="10"/>
  <c r="K38" i="10"/>
  <c r="K36" i="10"/>
  <c r="K35" i="10"/>
  <c r="K34" i="10"/>
  <c r="J36" i="10"/>
  <c r="J35" i="10"/>
  <c r="J34" i="10"/>
  <c r="K21" i="10"/>
  <c r="K19" i="10"/>
  <c r="K23" i="10"/>
  <c r="K18" i="10"/>
  <c r="J21" i="10"/>
  <c r="E425" i="10"/>
  <c r="C425" i="10"/>
  <c r="C426" i="10" s="1"/>
  <c r="C428" i="10" s="1"/>
  <c r="D441" i="10" s="1"/>
  <c r="C424" i="10"/>
  <c r="D413" i="10"/>
  <c r="D405" i="10"/>
  <c r="D401" i="10"/>
  <c r="D398" i="10"/>
  <c r="D406" i="10" s="1"/>
  <c r="D395" i="10"/>
  <c r="H384" i="10"/>
  <c r="I384" i="10" s="1"/>
  <c r="H379" i="10"/>
  <c r="F363" i="10"/>
  <c r="D356" i="10"/>
  <c r="D344" i="10"/>
  <c r="D340" i="10"/>
  <c r="D333" i="10"/>
  <c r="D334" i="10" s="1"/>
  <c r="G317" i="10"/>
  <c r="F300" i="10"/>
  <c r="D293" i="10"/>
  <c r="E278" i="10"/>
  <c r="E271" i="10"/>
  <c r="H280" i="10" s="1"/>
  <c r="E265" i="10"/>
  <c r="E249" i="10"/>
  <c r="G231" i="10"/>
  <c r="E209" i="10"/>
  <c r="D198" i="10"/>
  <c r="E192" i="10"/>
  <c r="C192" i="10"/>
  <c r="C201" i="10" s="1"/>
  <c r="C185" i="10"/>
  <c r="C186" i="10" s="1"/>
  <c r="F173" i="10"/>
  <c r="G173" i="10" s="1"/>
  <c r="F169" i="10"/>
  <c r="E164" i="10"/>
  <c r="D136" i="10"/>
  <c r="E140" i="10" s="1"/>
  <c r="D135" i="10"/>
  <c r="E126" i="10"/>
  <c r="E122" i="10"/>
  <c r="E124" i="10" s="1"/>
  <c r="E139" i="10" s="1"/>
  <c r="C92" i="10"/>
  <c r="C94" i="10" s="1"/>
  <c r="D86" i="10"/>
  <c r="D87" i="10" s="1"/>
  <c r="F91" i="10" s="1"/>
  <c r="D53" i="10"/>
  <c r="E50" i="10"/>
  <c r="G112" i="9"/>
  <c r="G110" i="9"/>
  <c r="G120" i="9"/>
  <c r="G118" i="9"/>
  <c r="G117" i="9"/>
  <c r="G116" i="9"/>
  <c r="G105" i="9"/>
  <c r="G104" i="9"/>
  <c r="G103" i="9"/>
  <c r="G107" i="9"/>
  <c r="G102" i="9"/>
  <c r="F111" i="9"/>
  <c r="F110" i="9"/>
  <c r="F120" i="9"/>
  <c r="F118" i="9"/>
  <c r="F117" i="9"/>
  <c r="F116" i="9"/>
  <c r="F102" i="9"/>
  <c r="F103" i="9"/>
  <c r="F104" i="9"/>
  <c r="F108" i="9"/>
  <c r="F107" i="9"/>
  <c r="F105" i="9"/>
  <c r="E105" i="9"/>
  <c r="E104" i="9"/>
  <c r="E103" i="9"/>
  <c r="E107" i="9"/>
  <c r="E102" i="9"/>
  <c r="D111" i="9"/>
  <c r="D110" i="9"/>
  <c r="D120" i="9"/>
  <c r="D118" i="9"/>
  <c r="D117" i="9"/>
  <c r="D116" i="9"/>
  <c r="D104" i="9"/>
  <c r="D108" i="9"/>
  <c r="D107" i="9"/>
  <c r="D103" i="9"/>
  <c r="D102" i="9"/>
  <c r="D105" i="9"/>
  <c r="C105" i="9"/>
  <c r="C102" i="9"/>
  <c r="C103" i="9"/>
  <c r="C107" i="9"/>
  <c r="B105" i="9"/>
  <c r="B107" i="9"/>
  <c r="B103" i="9"/>
  <c r="I69" i="9"/>
  <c r="J69" i="9"/>
  <c r="K69" i="9"/>
  <c r="I70" i="9"/>
  <c r="J70" i="9"/>
  <c r="K70" i="9"/>
  <c r="I71" i="9"/>
  <c r="J71" i="9"/>
  <c r="K71" i="9"/>
  <c r="H69" i="9"/>
  <c r="H71" i="9" s="1"/>
  <c r="H70" i="9"/>
  <c r="G69" i="9"/>
  <c r="G71" i="9" s="1"/>
  <c r="G70" i="9"/>
  <c r="G67" i="9"/>
  <c r="D70" i="9"/>
  <c r="E70" i="9"/>
  <c r="F70" i="9" s="1"/>
  <c r="F71" i="9" s="1"/>
  <c r="C70" i="9"/>
  <c r="F67" i="9"/>
  <c r="C67" i="9"/>
  <c r="D67" i="9"/>
  <c r="E67" i="9"/>
  <c r="E69" i="9" s="1"/>
  <c r="E71" i="9" s="1"/>
  <c r="C68" i="9"/>
  <c r="D68" i="9"/>
  <c r="E68" i="9"/>
  <c r="F68" i="9"/>
  <c r="C69" i="9"/>
  <c r="D69" i="9"/>
  <c r="F69" i="9"/>
  <c r="C71" i="9"/>
  <c r="D71" i="9"/>
  <c r="B67" i="9"/>
  <c r="B69" i="9" s="1"/>
  <c r="B71" i="9" s="1"/>
  <c r="G68" i="9"/>
  <c r="H68" i="9"/>
  <c r="I68" i="9"/>
  <c r="J68" i="9"/>
  <c r="K68" i="9"/>
  <c r="B68" i="9"/>
  <c r="A49" i="9"/>
  <c r="A46" i="9"/>
  <c r="C178" i="9"/>
  <c r="D178" i="9" s="1"/>
  <c r="E178" i="9" s="1"/>
  <c r="F178" i="9" s="1"/>
  <c r="B178" i="9"/>
  <c r="B165" i="9"/>
  <c r="C165" i="9" s="1"/>
  <c r="I163" i="9"/>
  <c r="G163" i="9"/>
  <c r="C163" i="9"/>
  <c r="B161" i="9"/>
  <c r="C160" i="9"/>
  <c r="D160" i="9" s="1"/>
  <c r="G39" i="9"/>
  <c r="G41" i="9" s="1"/>
  <c r="G43" i="9" s="1"/>
  <c r="C23" i="9"/>
  <c r="D23" i="9" s="1"/>
  <c r="D22" i="9"/>
  <c r="I121" i="8"/>
  <c r="I122" i="8"/>
  <c r="I120" i="8"/>
  <c r="I118" i="8"/>
  <c r="I119" i="8"/>
  <c r="I115" i="8"/>
  <c r="I116" i="8"/>
  <c r="M58" i="8"/>
  <c r="M61" i="8"/>
  <c r="M60" i="8" s="1"/>
  <c r="M55" i="8"/>
  <c r="M54" i="8" s="1"/>
  <c r="G56" i="8"/>
  <c r="G58" i="8"/>
  <c r="G55" i="8"/>
  <c r="G54" i="8" s="1"/>
  <c r="H307" i="8"/>
  <c r="H308" i="8" s="1"/>
  <c r="H309" i="8" s="1"/>
  <c r="H310" i="8" s="1"/>
  <c r="G307" i="8"/>
  <c r="F307" i="8"/>
  <c r="F308" i="8" s="1"/>
  <c r="F309" i="8" s="1"/>
  <c r="F310" i="8" s="1"/>
  <c r="I306" i="8"/>
  <c r="F296" i="8"/>
  <c r="D297" i="8" s="1"/>
  <c r="G277" i="8"/>
  <c r="G278" i="8" s="1"/>
  <c r="G279" i="8" s="1"/>
  <c r="G280" i="8" s="1"/>
  <c r="G281" i="8" s="1"/>
  <c r="G282" i="8" s="1"/>
  <c r="G283" i="8" s="1"/>
  <c r="G284" i="8" s="1"/>
  <c r="F277" i="8"/>
  <c r="F278" i="8" s="1"/>
  <c r="F279" i="8" s="1"/>
  <c r="F280" i="8" s="1"/>
  <c r="F281" i="8" s="1"/>
  <c r="F282" i="8" s="1"/>
  <c r="F283" i="8" s="1"/>
  <c r="F284" i="8" s="1"/>
  <c r="G275" i="8"/>
  <c r="G276" i="8" s="1"/>
  <c r="C280" i="8" s="1"/>
  <c r="G220" i="8"/>
  <c r="E227" i="8" s="1"/>
  <c r="F220" i="8"/>
  <c r="E226" i="8" s="1"/>
  <c r="E236" i="8" s="1"/>
  <c r="E220" i="8"/>
  <c r="E225" i="8" s="1"/>
  <c r="E235" i="8" s="1"/>
  <c r="D220" i="8"/>
  <c r="E224" i="8" s="1"/>
  <c r="E229" i="8" s="1"/>
  <c r="G217" i="8"/>
  <c r="F217" i="8"/>
  <c r="E217" i="8"/>
  <c r="D217" i="8"/>
  <c r="E208" i="8"/>
  <c r="E210" i="8" s="1"/>
  <c r="G179" i="8"/>
  <c r="F179" i="8"/>
  <c r="E179" i="8"/>
  <c r="D179" i="8"/>
  <c r="F142" i="8"/>
  <c r="F140" i="8"/>
  <c r="F139" i="8"/>
  <c r="H132" i="8"/>
  <c r="G132" i="8"/>
  <c r="F136" i="8" s="1"/>
  <c r="F138" i="8" s="1"/>
  <c r="G131" i="8"/>
  <c r="H130" i="8"/>
  <c r="H129" i="8"/>
  <c r="G98" i="8"/>
  <c r="G96" i="8"/>
  <c r="A80" i="8"/>
  <c r="A89" i="8" s="1"/>
  <c r="E79" i="8"/>
  <c r="E87" i="8" s="1"/>
  <c r="H69" i="8"/>
  <c r="G101" i="8" s="1"/>
  <c r="G100" i="8" s="1"/>
  <c r="G69" i="8"/>
  <c r="G68" i="8" s="1"/>
  <c r="H67" i="8"/>
  <c r="H66" i="8"/>
  <c r="G95" i="8" s="1"/>
  <c r="M89" i="7"/>
  <c r="L89" i="7"/>
  <c r="K89" i="7"/>
  <c r="Y73" i="7"/>
  <c r="Y70" i="7"/>
  <c r="Y68" i="7"/>
  <c r="Y67" i="7"/>
  <c r="X68" i="7"/>
  <c r="X67" i="7"/>
  <c r="W68" i="7"/>
  <c r="W67" i="7"/>
  <c r="W66" i="7"/>
  <c r="Y66" i="7"/>
  <c r="X66" i="7"/>
  <c r="X70" i="7"/>
  <c r="W70" i="7"/>
  <c r="R76" i="7"/>
  <c r="R66" i="7"/>
  <c r="R67" i="7"/>
  <c r="R68" i="7"/>
  <c r="R74" i="7"/>
  <c r="R71" i="7"/>
  <c r="M97" i="7"/>
  <c r="M96" i="7"/>
  <c r="M95" i="7"/>
  <c r="M103" i="7"/>
  <c r="M106" i="7" s="1"/>
  <c r="R69" i="7" s="1"/>
  <c r="Q76" i="7"/>
  <c r="P88" i="7"/>
  <c r="Q69" i="7"/>
  <c r="Q68" i="7"/>
  <c r="Q67" i="7"/>
  <c r="Q71" i="7"/>
  <c r="Q66" i="7"/>
  <c r="P71" i="7"/>
  <c r="P76" i="7"/>
  <c r="P67" i="7"/>
  <c r="P66" i="7"/>
  <c r="P68" i="7"/>
  <c r="P74" i="7"/>
  <c r="P69" i="7"/>
  <c r="L106" i="7"/>
  <c r="L103" i="7"/>
  <c r="L98" i="7"/>
  <c r="L97" i="7"/>
  <c r="L96" i="7"/>
  <c r="L95" i="7"/>
  <c r="L104" i="7"/>
  <c r="O76" i="7"/>
  <c r="M86" i="7"/>
  <c r="M88" i="7" s="1"/>
  <c r="L87" i="7"/>
  <c r="L86" i="7"/>
  <c r="L88" i="7" s="1"/>
  <c r="L82" i="7" s="1"/>
  <c r="L81" i="7"/>
  <c r="K103" i="7"/>
  <c r="K106" i="7" s="1"/>
  <c r="M69" i="7" s="1"/>
  <c r="K99" i="7"/>
  <c r="K98" i="7"/>
  <c r="K97" i="7"/>
  <c r="K96" i="7"/>
  <c r="K95" i="7"/>
  <c r="K86" i="7"/>
  <c r="K88" i="7" s="1"/>
  <c r="K82" i="7" s="1"/>
  <c r="K83" i="7" s="1"/>
  <c r="K81" i="7"/>
  <c r="K69" i="7"/>
  <c r="X43" i="7"/>
  <c r="W43" i="7"/>
  <c r="V43" i="7"/>
  <c r="U43" i="7"/>
  <c r="N61" i="7"/>
  <c r="N59" i="7"/>
  <c r="N53" i="7"/>
  <c r="L61" i="7"/>
  <c r="N45" i="7" s="1"/>
  <c r="L59" i="7"/>
  <c r="L55" i="7"/>
  <c r="M54" i="7" s="1"/>
  <c r="L54" i="7"/>
  <c r="M53" i="7" s="1"/>
  <c r="M59" i="7" s="1"/>
  <c r="M61" i="7" s="1"/>
  <c r="L53" i="7"/>
  <c r="M42" i="7"/>
  <c r="L42" i="7"/>
  <c r="K45" i="7"/>
  <c r="L47" i="7" s="1"/>
  <c r="M26" i="7"/>
  <c r="M28" i="7" s="1"/>
  <c r="M27" i="7"/>
  <c r="L26" i="7"/>
  <c r="L28" i="7" s="1"/>
  <c r="O13" i="7" s="1"/>
  <c r="M10" i="7"/>
  <c r="N10" i="7" s="1"/>
  <c r="L11" i="7"/>
  <c r="L15" i="7"/>
  <c r="L10" i="7"/>
  <c r="K13" i="7"/>
  <c r="P143" i="6"/>
  <c r="P142" i="6"/>
  <c r="P141" i="6"/>
  <c r="P148" i="6"/>
  <c r="P144" i="6"/>
  <c r="K170" i="6"/>
  <c r="L167" i="6"/>
  <c r="K161" i="6"/>
  <c r="K162" i="6"/>
  <c r="K163" i="6" s="1"/>
  <c r="K160" i="6"/>
  <c r="L161" i="6"/>
  <c r="L162" i="6"/>
  <c r="L163" i="6"/>
  <c r="L160" i="6"/>
  <c r="J161" i="6"/>
  <c r="J162" i="6"/>
  <c r="J163" i="6"/>
  <c r="J160" i="6"/>
  <c r="M155" i="6"/>
  <c r="M154" i="6"/>
  <c r="O144" i="6"/>
  <c r="O142" i="6"/>
  <c r="O146" i="6"/>
  <c r="O141" i="6"/>
  <c r="N144" i="6"/>
  <c r="N142" i="6"/>
  <c r="N141" i="6"/>
  <c r="N146" i="6"/>
  <c r="M144" i="6"/>
  <c r="M142" i="6"/>
  <c r="M146" i="6"/>
  <c r="M141" i="6"/>
  <c r="L144" i="6"/>
  <c r="F43" i="11" l="1"/>
  <c r="H43" i="11" s="1"/>
  <c r="O29" i="11" s="1"/>
  <c r="U57" i="11" s="1"/>
  <c r="U59" i="11" s="1"/>
  <c r="U61" i="11" s="1"/>
  <c r="O37" i="11" s="1"/>
  <c r="E44" i="11"/>
  <c r="L27" i="11"/>
  <c r="K29" i="11"/>
  <c r="S57" i="11" s="1"/>
  <c r="S59" i="11" s="1"/>
  <c r="S61" i="11" s="1"/>
  <c r="K37" i="11" s="1"/>
  <c r="K38" i="11" s="1"/>
  <c r="O26" i="11"/>
  <c r="P26" i="11" s="1"/>
  <c r="T59" i="11"/>
  <c r="T61" i="11" s="1"/>
  <c r="M37" i="11" s="1"/>
  <c r="M38" i="11" s="1"/>
  <c r="R36" i="10"/>
  <c r="R38" i="10" s="1"/>
  <c r="D407" i="10"/>
  <c r="D408" i="10" s="1"/>
  <c r="H380" i="10" s="1"/>
  <c r="I380" i="10" s="1"/>
  <c r="D402" i="10"/>
  <c r="I379" i="10"/>
  <c r="E424" i="10" s="1"/>
  <c r="E426" i="10" s="1"/>
  <c r="E428" i="10" s="1"/>
  <c r="D341" i="10"/>
  <c r="D342" i="10"/>
  <c r="D345" i="10"/>
  <c r="G322" i="10"/>
  <c r="H322" i="10" s="1"/>
  <c r="H317" i="10"/>
  <c r="E250" i="10"/>
  <c r="E262" i="10"/>
  <c r="H231" i="10"/>
  <c r="F171" i="10"/>
  <c r="C203" i="10" s="1"/>
  <c r="C205" i="10" s="1"/>
  <c r="G170" i="10" s="1"/>
  <c r="G174" i="10" s="1"/>
  <c r="G169" i="10"/>
  <c r="G171" i="10" s="1"/>
  <c r="E208" i="10" s="1"/>
  <c r="E210" i="10" s="1"/>
  <c r="E212" i="10" s="1"/>
  <c r="D72" i="10"/>
  <c r="D68" i="10"/>
  <c r="D70" i="10" s="1"/>
  <c r="F90" i="10" s="1"/>
  <c r="F92" i="10" s="1"/>
  <c r="F94" i="10" s="1"/>
  <c r="E141" i="10"/>
  <c r="E143" i="10" s="1"/>
  <c r="J165" i="9"/>
  <c r="K165" i="9" s="1"/>
  <c r="E177" i="9"/>
  <c r="E179" i="9" s="1"/>
  <c r="E181" i="9" s="1"/>
  <c r="I169" i="9" s="1"/>
  <c r="H165" i="9"/>
  <c r="I165" i="9" s="1"/>
  <c r="D177" i="9"/>
  <c r="D179" i="9" s="1"/>
  <c r="D181" i="9" s="1"/>
  <c r="G169" i="9" s="1"/>
  <c r="D165" i="9"/>
  <c r="E165" i="9" s="1"/>
  <c r="B177" i="9"/>
  <c r="B179" i="9" s="1"/>
  <c r="B181" i="9" s="1"/>
  <c r="C161" i="9"/>
  <c r="B163" i="9"/>
  <c r="C166" i="9" s="1"/>
  <c r="C162" i="9" s="1"/>
  <c r="D162" i="9" s="1"/>
  <c r="E167" i="9" s="1"/>
  <c r="E160" i="9"/>
  <c r="C24" i="9"/>
  <c r="C28" i="9" s="1"/>
  <c r="D24" i="9"/>
  <c r="D28" i="9" s="1"/>
  <c r="H39" i="9"/>
  <c r="F141" i="8"/>
  <c r="G57" i="8"/>
  <c r="M56" i="8"/>
  <c r="M57" i="8" s="1"/>
  <c r="H131" i="8"/>
  <c r="H68" i="8"/>
  <c r="G308" i="8"/>
  <c r="I307" i="8"/>
  <c r="E237" i="8"/>
  <c r="E239" i="8" s="1"/>
  <c r="G237" i="8"/>
  <c r="G97" i="8"/>
  <c r="X73" i="7"/>
  <c r="W72" i="7"/>
  <c r="L66" i="7"/>
  <c r="L80" i="7"/>
  <c r="L83" i="7" s="1"/>
  <c r="N66" i="7" s="1"/>
  <c r="O47" i="7"/>
  <c r="P47" i="7" s="1"/>
  <c r="V42" i="7"/>
  <c r="V44" i="7" s="1"/>
  <c r="V46" i="7" s="1"/>
  <c r="N42" i="7"/>
  <c r="O42" i="7" s="1"/>
  <c r="L43" i="7"/>
  <c r="M47" i="7"/>
  <c r="N47" i="7" s="1"/>
  <c r="P15" i="7"/>
  <c r="Q15" i="7" s="1"/>
  <c r="O10" i="7"/>
  <c r="P10" i="7" s="1"/>
  <c r="L13" i="7"/>
  <c r="M15" i="7" s="1"/>
  <c r="V48" i="7"/>
  <c r="F131" i="6"/>
  <c r="E138" i="6"/>
  <c r="E137" i="6"/>
  <c r="E136" i="6"/>
  <c r="E135" i="6"/>
  <c r="B131" i="6"/>
  <c r="C131" i="6" s="1"/>
  <c r="D131" i="6" s="1"/>
  <c r="E131" i="6" s="1"/>
  <c r="E126" i="6"/>
  <c r="G131" i="6" s="1"/>
  <c r="K125" i="6"/>
  <c r="B124" i="6"/>
  <c r="C124" i="6" s="1"/>
  <c r="L92" i="6"/>
  <c r="M93" i="6" s="1"/>
  <c r="L89" i="6"/>
  <c r="L88" i="6"/>
  <c r="M86" i="6"/>
  <c r="L85" i="6"/>
  <c r="M83" i="6"/>
  <c r="M90" i="6" s="1"/>
  <c r="M80" i="6"/>
  <c r="M77" i="6"/>
  <c r="M74" i="6"/>
  <c r="Q54" i="6"/>
  <c r="Q51" i="6"/>
  <c r="Q52" i="6"/>
  <c r="Q59" i="6"/>
  <c r="Q56" i="6"/>
  <c r="P53" i="6"/>
  <c r="P52" i="6"/>
  <c r="P56" i="6"/>
  <c r="P54" i="6"/>
  <c r="P51" i="6"/>
  <c r="O51" i="6"/>
  <c r="O58" i="6"/>
  <c r="O53" i="6"/>
  <c r="O52" i="6"/>
  <c r="O56" i="6"/>
  <c r="N56" i="6"/>
  <c r="N52" i="6" s="1"/>
  <c r="N51" i="6"/>
  <c r="N54" i="6" s="1"/>
  <c r="M52" i="6"/>
  <c r="M56" i="6"/>
  <c r="M51" i="6"/>
  <c r="M54" i="6" s="1"/>
  <c r="L54" i="6"/>
  <c r="L51" i="6"/>
  <c r="L52" i="6"/>
  <c r="L56" i="6"/>
  <c r="K54" i="6"/>
  <c r="K52" i="6"/>
  <c r="K56" i="6"/>
  <c r="K51" i="6"/>
  <c r="J54" i="6"/>
  <c r="O38" i="11" l="1"/>
  <c r="F44" i="11"/>
  <c r="H44" i="11" s="1"/>
  <c r="Q29" i="11" s="1"/>
  <c r="E45" i="11"/>
  <c r="F45" i="11" s="1"/>
  <c r="H45" i="11" s="1"/>
  <c r="L29" i="11"/>
  <c r="M32" i="11" s="1"/>
  <c r="M28" i="11" s="1"/>
  <c r="M27" i="11"/>
  <c r="Q26" i="11"/>
  <c r="R26" i="11" s="1"/>
  <c r="D419" i="10"/>
  <c r="F421" i="10" s="1"/>
  <c r="H381" i="10"/>
  <c r="I388" i="10"/>
  <c r="D442" i="10"/>
  <c r="D440" i="10" s="1"/>
  <c r="I390" i="10" s="1"/>
  <c r="D346" i="10"/>
  <c r="D347" i="10" s="1"/>
  <c r="E266" i="10"/>
  <c r="G236" i="10"/>
  <c r="E267" i="10"/>
  <c r="D294" i="10" s="1"/>
  <c r="G233" i="10"/>
  <c r="H284" i="10" s="1"/>
  <c r="D216" i="10"/>
  <c r="D217" i="10" s="1"/>
  <c r="G177" i="10" s="1"/>
  <c r="G175" i="10"/>
  <c r="D76" i="10"/>
  <c r="D74" i="10"/>
  <c r="E128" i="10"/>
  <c r="E145" i="10"/>
  <c r="E130" i="10"/>
  <c r="E147" i="10"/>
  <c r="E148" i="10" s="1"/>
  <c r="K170" i="9"/>
  <c r="I171" i="9"/>
  <c r="C169" i="9"/>
  <c r="C171" i="9"/>
  <c r="F160" i="9"/>
  <c r="B117" i="9"/>
  <c r="B118" i="9"/>
  <c r="B120" i="9" s="1"/>
  <c r="C30" i="9"/>
  <c r="C32" i="9" s="1"/>
  <c r="C39" i="9"/>
  <c r="C41" i="9" s="1"/>
  <c r="C43" i="9" s="1"/>
  <c r="D30" i="9"/>
  <c r="D32" i="9" s="1"/>
  <c r="D39" i="9"/>
  <c r="I39" i="9"/>
  <c r="H41" i="9"/>
  <c r="H43" i="9" s="1"/>
  <c r="D161" i="9"/>
  <c r="I308" i="8"/>
  <c r="G309" i="8"/>
  <c r="M66" i="7"/>
  <c r="M68" i="7" s="1"/>
  <c r="L69" i="7"/>
  <c r="O66" i="7"/>
  <c r="P42" i="7"/>
  <c r="L45" i="7"/>
  <c r="U42" i="7" s="1"/>
  <c r="U44" i="7" s="1"/>
  <c r="M43" i="7"/>
  <c r="Q10" i="7"/>
  <c r="N15" i="7"/>
  <c r="O15" i="7" s="1"/>
  <c r="M11" i="7"/>
  <c r="C126" i="6"/>
  <c r="D124" i="6"/>
  <c r="B126" i="6"/>
  <c r="V57" i="11" l="1"/>
  <c r="V59" i="11" s="1"/>
  <c r="V61" i="11" s="1"/>
  <c r="Q37" i="11" s="1"/>
  <c r="Q39" i="11" s="1"/>
  <c r="M79" i="11"/>
  <c r="M80" i="11" s="1"/>
  <c r="N27" i="11" s="1"/>
  <c r="N28" i="11"/>
  <c r="N29" i="11"/>
  <c r="O32" i="11" s="1"/>
  <c r="O27" i="11"/>
  <c r="P27" i="11" s="1"/>
  <c r="S26" i="11"/>
  <c r="H382" i="10"/>
  <c r="D415" i="10" s="1"/>
  <c r="D417" i="10" s="1"/>
  <c r="I386" i="10"/>
  <c r="D357" i="10"/>
  <c r="D359" i="10" s="1"/>
  <c r="H319" i="10" s="1"/>
  <c r="H236" i="10"/>
  <c r="G232" i="10"/>
  <c r="E268" i="10"/>
  <c r="G160" i="9"/>
  <c r="E39" i="9"/>
  <c r="D41" i="9"/>
  <c r="D43" i="9" s="1"/>
  <c r="J39" i="9"/>
  <c r="J41" i="9" s="1"/>
  <c r="J43" i="9" s="1"/>
  <c r="I41" i="9"/>
  <c r="I43" i="9" s="1"/>
  <c r="D163" i="9"/>
  <c r="E161" i="9"/>
  <c r="G310" i="8"/>
  <c r="I310" i="8" s="1"/>
  <c r="I309" i="8"/>
  <c r="I312" i="8" s="1"/>
  <c r="N68" i="7"/>
  <c r="M73" i="7"/>
  <c r="Q42" i="7"/>
  <c r="M45" i="7"/>
  <c r="N44" i="7" s="1"/>
  <c r="N43" i="7"/>
  <c r="O43" i="7" s="1"/>
  <c r="R10" i="7"/>
  <c r="M13" i="7"/>
  <c r="N11" i="7"/>
  <c r="E124" i="6"/>
  <c r="D126" i="6"/>
  <c r="E128" i="6" s="1"/>
  <c r="E125" i="6" s="1"/>
  <c r="F125" i="6" s="1"/>
  <c r="G129" i="6" s="1"/>
  <c r="Q27" i="11" l="1"/>
  <c r="T26" i="11"/>
  <c r="O28" i="11"/>
  <c r="P28" i="11" s="1"/>
  <c r="P29" i="11" s="1"/>
  <c r="Q33" i="11" s="1"/>
  <c r="Q28" i="11" s="1"/>
  <c r="H320" i="10"/>
  <c r="F362" i="10" s="1"/>
  <c r="F364" i="10" s="1"/>
  <c r="F366" i="10" s="1"/>
  <c r="H323" i="10"/>
  <c r="G234" i="10"/>
  <c r="H281" i="10" s="1"/>
  <c r="H282" i="10" s="1"/>
  <c r="H232" i="10"/>
  <c r="H160" i="9"/>
  <c r="I160" i="9"/>
  <c r="J160" i="9" s="1"/>
  <c r="F39" i="9"/>
  <c r="F41" i="9" s="1"/>
  <c r="F43" i="9" s="1"/>
  <c r="E41" i="9"/>
  <c r="E43" i="9" s="1"/>
  <c r="E163" i="9"/>
  <c r="N69" i="7"/>
  <c r="O71" i="7" s="1"/>
  <c r="O67" i="7" s="1"/>
  <c r="O69" i="7" s="1"/>
  <c r="O68" i="7"/>
  <c r="O44" i="7"/>
  <c r="P44" i="7" s="1"/>
  <c r="Q50" i="7" s="1"/>
  <c r="N49" i="7"/>
  <c r="O45" i="7"/>
  <c r="W42" i="7" s="1"/>
  <c r="W44" i="7" s="1"/>
  <c r="W46" i="7" s="1"/>
  <c r="P43" i="7"/>
  <c r="N13" i="7"/>
  <c r="O12" i="7" s="1"/>
  <c r="O11" i="7"/>
  <c r="P11" i="7" s="1"/>
  <c r="F124" i="6"/>
  <c r="M106" i="11" l="1"/>
  <c r="M107" i="11" s="1"/>
  <c r="R27" i="11" s="1"/>
  <c r="R28" i="11"/>
  <c r="S33" i="11" s="1"/>
  <c r="D370" i="10"/>
  <c r="H325" i="10"/>
  <c r="D289" i="10"/>
  <c r="D290" i="10" s="1"/>
  <c r="H238" i="10"/>
  <c r="D295" i="10"/>
  <c r="D296" i="10" s="1"/>
  <c r="H233" i="10" s="1"/>
  <c r="H234" i="10" s="1"/>
  <c r="F299" i="10" s="1"/>
  <c r="F301" i="10" s="1"/>
  <c r="F303" i="10" s="1"/>
  <c r="D308" i="10" s="1"/>
  <c r="D307" i="10" s="1"/>
  <c r="H242" i="10" s="1"/>
  <c r="F306" i="10"/>
  <c r="H239" i="10"/>
  <c r="K160" i="9"/>
  <c r="C177" i="9"/>
  <c r="C179" i="9" s="1"/>
  <c r="C181" i="9" s="1"/>
  <c r="E169" i="9" s="1"/>
  <c r="F165" i="9"/>
  <c r="X49" i="7"/>
  <c r="W49" i="7"/>
  <c r="P45" i="7"/>
  <c r="Q43" i="7"/>
  <c r="Q45" i="7" s="1"/>
  <c r="X42" i="7" s="1"/>
  <c r="X44" i="7" s="1"/>
  <c r="O16" i="7"/>
  <c r="P12" i="7"/>
  <c r="Q11" i="7"/>
  <c r="F126" i="6"/>
  <c r="G124" i="6"/>
  <c r="S27" i="11" l="1"/>
  <c r="R29" i="11"/>
  <c r="D369" i="10"/>
  <c r="H327" i="10"/>
  <c r="E170" i="9"/>
  <c r="G171" i="9"/>
  <c r="F161" i="9"/>
  <c r="G165" i="9"/>
  <c r="Q13" i="7"/>
  <c r="R15" i="7" s="1"/>
  <c r="R11" i="7"/>
  <c r="R13" i="7" s="1"/>
  <c r="Q17" i="7"/>
  <c r="P13" i="7"/>
  <c r="G126" i="6"/>
  <c r="H131" i="6" s="1"/>
  <c r="I131" i="6" s="1"/>
  <c r="J131" i="6" s="1"/>
  <c r="K131" i="6" s="1"/>
  <c r="S29" i="11" l="1"/>
  <c r="W57" i="11" s="1"/>
  <c r="W59" i="11" s="1"/>
  <c r="W61" i="11" s="1"/>
  <c r="S37" i="11" s="1"/>
  <c r="T27" i="11"/>
  <c r="T29" i="11" s="1"/>
  <c r="G161" i="9"/>
  <c r="F163" i="9"/>
  <c r="G166" i="9" s="1"/>
  <c r="G162" i="9" s="1"/>
  <c r="H162" i="9" s="1"/>
  <c r="H124" i="6"/>
  <c r="S38" i="11" l="1"/>
  <c r="U39" i="11"/>
  <c r="H161" i="9"/>
  <c r="H126" i="6"/>
  <c r="I126" i="6" s="1"/>
  <c r="I124" i="6"/>
  <c r="J124" i="6" s="1"/>
  <c r="I161" i="9" l="1"/>
  <c r="H163" i="9"/>
  <c r="I166" i="9" s="1"/>
  <c r="I162" i="9" s="1"/>
  <c r="J162" i="9" s="1"/>
  <c r="K167" i="9" s="1"/>
  <c r="K124" i="6"/>
  <c r="J126" i="6"/>
  <c r="K126" i="6" s="1"/>
  <c r="J161" i="9" l="1"/>
  <c r="L120" i="5"/>
  <c r="K122" i="5"/>
  <c r="K124" i="5"/>
  <c r="K114" i="5"/>
  <c r="I110" i="5"/>
  <c r="I111" i="5"/>
  <c r="I114" i="5"/>
  <c r="E124" i="5"/>
  <c r="E114" i="5"/>
  <c r="J69" i="5"/>
  <c r="O81" i="5"/>
  <c r="O83" i="5"/>
  <c r="O73" i="5"/>
  <c r="N79" i="5"/>
  <c r="L73" i="5"/>
  <c r="K78" i="5"/>
  <c r="J70" i="5"/>
  <c r="I70" i="5"/>
  <c r="I73" i="5"/>
  <c r="G81" i="5"/>
  <c r="F81" i="5"/>
  <c r="F83" i="5"/>
  <c r="F73" i="5"/>
  <c r="C73" i="5"/>
  <c r="L114" i="5"/>
  <c r="J114" i="5"/>
  <c r="G114" i="5"/>
  <c r="H114" i="5" s="1"/>
  <c r="C114" i="5"/>
  <c r="C110" i="5" s="1"/>
  <c r="C112" i="5" s="1"/>
  <c r="D112" i="5"/>
  <c r="J109" i="5"/>
  <c r="K109" i="5" s="1"/>
  <c r="F109" i="5"/>
  <c r="G109" i="5" s="1"/>
  <c r="P73" i="5"/>
  <c r="D73" i="5"/>
  <c r="E73" i="5" s="1"/>
  <c r="K71" i="5"/>
  <c r="K68" i="5" s="1"/>
  <c r="L68" i="5" s="1"/>
  <c r="H71" i="5"/>
  <c r="E71" i="5"/>
  <c r="E68" i="5" s="1"/>
  <c r="F68" i="5" s="1"/>
  <c r="N68" i="5"/>
  <c r="O68" i="5" s="1"/>
  <c r="D68" i="5"/>
  <c r="E26" i="5"/>
  <c r="E25" i="5"/>
  <c r="K161" i="9" l="1"/>
  <c r="K163" i="9" s="1"/>
  <c r="F177" i="9" s="1"/>
  <c r="F179" i="9" s="1"/>
  <c r="F181" i="9" s="1"/>
  <c r="J163" i="9"/>
  <c r="O69" i="5"/>
  <c r="O71" i="5" s="1"/>
  <c r="P85" i="5" s="1"/>
  <c r="K110" i="5"/>
  <c r="K112" i="5" s="1"/>
  <c r="D117" i="5"/>
  <c r="D122" i="5" s="1"/>
  <c r="M73" i="5"/>
  <c r="N73" i="5" s="1"/>
  <c r="C69" i="5"/>
  <c r="C71" i="5" s="1"/>
  <c r="J73" i="5"/>
  <c r="K73" i="5" s="1"/>
  <c r="G68" i="5"/>
  <c r="M68" i="5"/>
  <c r="D109" i="5"/>
  <c r="E109" i="5" s="1"/>
  <c r="D114" i="5"/>
  <c r="G110" i="5"/>
  <c r="G112" i="5" s="1"/>
  <c r="F124" i="5" l="1"/>
  <c r="D69" i="5"/>
  <c r="D71" i="5" s="1"/>
  <c r="E78" i="5" s="1"/>
  <c r="E81" i="5" s="1"/>
  <c r="G73" i="5"/>
  <c r="H73" i="5" s="1"/>
  <c r="F69" i="5"/>
  <c r="L69" i="5"/>
  <c r="M69" i="5" s="1"/>
  <c r="M71" i="5" s="1"/>
  <c r="G83" i="5"/>
  <c r="H83" i="5" s="1"/>
  <c r="E110" i="5"/>
  <c r="E112" i="5" s="1"/>
  <c r="F117" i="5" s="1"/>
  <c r="F114" i="5"/>
  <c r="E122" i="5" l="1"/>
  <c r="F122" i="5" s="1"/>
  <c r="F71" i="5"/>
  <c r="G69" i="5"/>
  <c r="G71" i="5" s="1"/>
  <c r="L71" i="5"/>
  <c r="H79" i="5"/>
  <c r="H75" i="5" s="1"/>
  <c r="H70" i="5" s="1"/>
  <c r="G124" i="5" l="1"/>
  <c r="H124" i="5" s="1"/>
  <c r="G122" i="5"/>
  <c r="K76" i="5"/>
  <c r="H68" i="5"/>
  <c r="I68" i="5" s="1"/>
  <c r="I69" i="5"/>
  <c r="H118" i="5"/>
  <c r="H116" i="5" s="1"/>
  <c r="H111" i="5" s="1"/>
  <c r="J115" i="5" l="1"/>
  <c r="H109" i="5"/>
  <c r="I109" i="5" s="1"/>
  <c r="I71" i="5"/>
  <c r="J68" i="5"/>
  <c r="J71" i="5" s="1"/>
  <c r="K81" i="5" s="1"/>
  <c r="H122" i="5"/>
  <c r="I112" i="5" l="1"/>
  <c r="J117" i="5" s="1"/>
  <c r="J122" i="5" s="1"/>
  <c r="L83" i="5"/>
  <c r="M83" i="5" s="1"/>
  <c r="N83" i="5" s="1"/>
  <c r="L81" i="5"/>
  <c r="M81" i="5" s="1"/>
  <c r="N81" i="5" s="1"/>
  <c r="L124" i="5" l="1"/>
  <c r="P83" i="5" l="1"/>
  <c r="AB87" i="4" l="1"/>
  <c r="AF90" i="4"/>
  <c r="AF94" i="4"/>
  <c r="AE99" i="4"/>
  <c r="AE88" i="4"/>
  <c r="AE85" i="4"/>
  <c r="AE86" i="4"/>
  <c r="AE90" i="4"/>
  <c r="AD85" i="4"/>
  <c r="AD99" i="4"/>
  <c r="AD97" i="4"/>
  <c r="AD91" i="4"/>
  <c r="AD90" i="4"/>
  <c r="AD88" i="4"/>
  <c r="AC85" i="4"/>
  <c r="AC87" i="4"/>
  <c r="AC88" i="4"/>
  <c r="AC90" i="4"/>
  <c r="Y86" i="4"/>
  <c r="AB86" i="4"/>
  <c r="AB88" i="4"/>
  <c r="AB85" i="4"/>
  <c r="AB90" i="4"/>
  <c r="AA85" i="4"/>
  <c r="AA87" i="4"/>
  <c r="AA92" i="4"/>
  <c r="AA90" i="4"/>
  <c r="Z85" i="4"/>
  <c r="Z88" i="4"/>
  <c r="AA88" i="4"/>
  <c r="Z90" i="4"/>
  <c r="Z87" i="4"/>
  <c r="Y87" i="4"/>
  <c r="Y88" i="4"/>
  <c r="Y85" i="4"/>
  <c r="Y90" i="4"/>
  <c r="X90" i="4"/>
  <c r="W90" i="4"/>
  <c r="X85" i="4"/>
  <c r="X87" i="4"/>
  <c r="X92" i="4"/>
  <c r="X98" i="4"/>
  <c r="X88" i="4"/>
  <c r="W85" i="4"/>
  <c r="W88" i="4"/>
  <c r="W99" i="4"/>
  <c r="V99" i="4"/>
  <c r="V88" i="4"/>
  <c r="V85" i="4"/>
  <c r="V86" i="4"/>
  <c r="V90" i="4"/>
  <c r="U85" i="4"/>
  <c r="U99" i="4"/>
  <c r="U98" i="4"/>
  <c r="U88" i="4"/>
  <c r="U90" i="4"/>
  <c r="T90" i="4"/>
  <c r="T85" i="4"/>
  <c r="T88" i="4"/>
  <c r="S88" i="4"/>
  <c r="S85" i="4"/>
  <c r="S86" i="4"/>
  <c r="S90" i="4"/>
  <c r="R90" i="4"/>
  <c r="Q90" i="4"/>
  <c r="R85" i="4"/>
  <c r="R99" i="4"/>
  <c r="R97" i="4"/>
  <c r="R88" i="4"/>
  <c r="Q85" i="4"/>
  <c r="Q88" i="4"/>
  <c r="P88" i="4"/>
  <c r="P85" i="4"/>
  <c r="P86" i="4"/>
  <c r="P90" i="4"/>
  <c r="O88" i="4"/>
  <c r="M90" i="4"/>
  <c r="S99" i="4"/>
  <c r="T99" i="4" s="1"/>
  <c r="O85" i="4"/>
  <c r="M85" i="4"/>
  <c r="AC55" i="4"/>
  <c r="Y71" i="4"/>
  <c r="AB75" i="4"/>
  <c r="Y70" i="4" s="1"/>
  <c r="Y72" i="4" s="1"/>
  <c r="AC51" i="4"/>
  <c r="AB49" i="4"/>
  <c r="AB47" i="4"/>
  <c r="AB51" i="4"/>
  <c r="AB46" i="4"/>
  <c r="AA46" i="4"/>
  <c r="AA58" i="4"/>
  <c r="AA51" i="4"/>
  <c r="AA49" i="4"/>
  <c r="Z51" i="4"/>
  <c r="Z46" i="4"/>
  <c r="Z49" i="4"/>
  <c r="Y49" i="4"/>
  <c r="Y47" i="4"/>
  <c r="Y51" i="4"/>
  <c r="Y46" i="4"/>
  <c r="X46" i="4"/>
  <c r="X51" i="4"/>
  <c r="X49" i="4"/>
  <c r="W51" i="4"/>
  <c r="V51" i="4"/>
  <c r="U51" i="4"/>
  <c r="U47" i="4"/>
  <c r="U49" i="4"/>
  <c r="T51" i="4"/>
  <c r="S60" i="4"/>
  <c r="T60" i="4" s="1"/>
  <c r="S51" i="4"/>
  <c r="R60" i="4"/>
  <c r="R49" i="4"/>
  <c r="R51" i="4"/>
  <c r="Q62" i="4"/>
  <c r="Q51" i="4"/>
  <c r="Q46" i="4"/>
  <c r="Q49" i="4"/>
  <c r="P49" i="4"/>
  <c r="P47" i="4"/>
  <c r="P51" i="4"/>
  <c r="P46" i="4"/>
  <c r="O46" i="4"/>
  <c r="O49" i="4"/>
  <c r="O78" i="4"/>
  <c r="L74" i="4" s="1"/>
  <c r="L75" i="4" s="1"/>
  <c r="L46" i="4" s="1"/>
  <c r="L49" i="4" s="1"/>
  <c r="M51" i="4" s="1"/>
  <c r="L88" i="4" l="1"/>
  <c r="M47" i="4"/>
  <c r="N51" i="4"/>
  <c r="O51" i="4" s="1"/>
  <c r="L62" i="4"/>
  <c r="M46" i="4"/>
  <c r="M49" i="4" s="1"/>
  <c r="N49" i="4" s="1"/>
  <c r="M86" i="4" l="1"/>
  <c r="M88" i="4" s="1"/>
  <c r="N88" i="4" s="1"/>
  <c r="N90" i="4"/>
  <c r="O90" i="4" s="1"/>
  <c r="O58" i="4"/>
  <c r="O60" i="4" s="1"/>
  <c r="P60" i="4" s="1"/>
  <c r="Q60" i="4" s="1"/>
  <c r="R59" i="4" s="1"/>
  <c r="R53" i="4" s="1"/>
  <c r="R48" i="4" s="1"/>
  <c r="N46" i="4"/>
  <c r="M54" i="4"/>
  <c r="N54" i="4" s="1"/>
  <c r="O54" i="4" s="1"/>
  <c r="N85" i="4" l="1"/>
  <c r="O97" i="4"/>
  <c r="O99" i="4" s="1"/>
  <c r="P99" i="4" s="1"/>
  <c r="Q99" i="4" s="1"/>
  <c r="M62" i="4"/>
  <c r="N62" i="4" s="1"/>
  <c r="O62" i="4" s="1"/>
  <c r="P54" i="4" s="1"/>
  <c r="Q54" i="4" s="1"/>
  <c r="R54" i="4" s="1"/>
  <c r="R46" i="4"/>
  <c r="S46" i="4" s="1"/>
  <c r="S47" i="4"/>
  <c r="S48" i="4"/>
  <c r="T48" i="4" s="1"/>
  <c r="S49" i="4" l="1"/>
  <c r="T49" i="4" s="1"/>
  <c r="U53" i="4" l="1"/>
  <c r="U48" i="4" s="1"/>
  <c r="T46" i="4"/>
  <c r="V48" i="4" l="1"/>
  <c r="W48" i="4" s="1"/>
  <c r="X52" i="4" s="1"/>
  <c r="U46" i="4"/>
  <c r="V46" i="4" s="1"/>
  <c r="V47" i="4"/>
  <c r="W46" i="4" l="1"/>
  <c r="W49" i="4" s="1"/>
  <c r="X58" i="4" s="1"/>
  <c r="X60" i="4" s="1"/>
  <c r="Y60" i="4" s="1"/>
  <c r="Z60" i="4" s="1"/>
  <c r="AA60" i="4" s="1"/>
  <c r="AB60" i="4" s="1"/>
  <c r="V49" i="4"/>
  <c r="H243" i="3" l="1"/>
  <c r="H250" i="3"/>
  <c r="H249" i="3"/>
  <c r="H247" i="3"/>
  <c r="H245" i="3"/>
  <c r="G245" i="3"/>
  <c r="G243" i="3"/>
  <c r="G244" i="3"/>
  <c r="G247" i="3"/>
  <c r="F243" i="3"/>
  <c r="F245" i="3"/>
  <c r="F250" i="3"/>
  <c r="F249" i="3"/>
  <c r="F247" i="3"/>
  <c r="E245" i="3"/>
  <c r="E244" i="3"/>
  <c r="E243" i="3"/>
  <c r="E247" i="3"/>
  <c r="D243" i="3"/>
  <c r="D250" i="3"/>
  <c r="D249" i="3"/>
  <c r="D247" i="3"/>
  <c r="D245" i="3"/>
  <c r="C245" i="3"/>
  <c r="C244" i="3"/>
  <c r="C247" i="3"/>
  <c r="F207" i="3"/>
  <c r="E205" i="3"/>
  <c r="F208" i="3" s="1"/>
  <c r="F209" i="3" s="1"/>
  <c r="E203" i="3"/>
  <c r="D187" i="3"/>
  <c r="F142" i="3"/>
  <c r="F140" i="3"/>
  <c r="F137" i="3"/>
  <c r="F141" i="3" s="1"/>
  <c r="F143" i="3" s="1"/>
  <c r="G129" i="3"/>
  <c r="E121" i="3" s="1"/>
  <c r="F121" i="3" s="1"/>
  <c r="D112" i="3"/>
  <c r="E112" i="3" s="1"/>
  <c r="C118" i="3"/>
  <c r="C113" i="3" s="1"/>
  <c r="C114" i="3" s="1"/>
  <c r="E75" i="3"/>
  <c r="F75" i="3" s="1"/>
  <c r="G75" i="3" s="1"/>
  <c r="F95" i="3"/>
  <c r="E81" i="3" s="1"/>
  <c r="G81" i="3" s="1"/>
  <c r="D79" i="3"/>
  <c r="C79" i="3"/>
  <c r="B79" i="3"/>
  <c r="B76" i="3" s="1"/>
  <c r="C43" i="3"/>
  <c r="C40" i="3" s="1"/>
  <c r="D118" i="3" l="1"/>
  <c r="H75" i="3"/>
  <c r="F112" i="3"/>
  <c r="D113" i="3"/>
  <c r="E113" i="3" s="1"/>
  <c r="C41" i="3"/>
  <c r="D43" i="3"/>
  <c r="D40" i="3" s="1"/>
  <c r="D41" i="3" s="1"/>
  <c r="B77" i="3"/>
  <c r="C76" i="3"/>
  <c r="G112" i="3" l="1"/>
  <c r="D114" i="3"/>
  <c r="E114" i="3"/>
  <c r="C77" i="3"/>
  <c r="D76" i="3"/>
  <c r="G118" i="3" l="1"/>
  <c r="F118" i="3"/>
  <c r="F113" i="3"/>
  <c r="D77" i="3"/>
  <c r="E76" i="3"/>
  <c r="E77" i="3" l="1"/>
  <c r="F76" i="3"/>
  <c r="G113" i="3"/>
  <c r="G114" i="3" s="1"/>
  <c r="F114" i="3"/>
  <c r="F77" i="3" l="1"/>
  <c r="G79" i="3" s="1"/>
  <c r="H79" i="3" s="1"/>
  <c r="G76" i="3" l="1"/>
  <c r="H76" i="3" l="1"/>
  <c r="H77" i="3" s="1"/>
  <c r="G77" i="3"/>
  <c r="H249" i="2" l="1"/>
  <c r="I249" i="2" s="1"/>
  <c r="G249" i="2"/>
  <c r="F249" i="2"/>
  <c r="B249" i="2"/>
  <c r="C249" i="2" s="1"/>
  <c r="D249" i="2" s="1"/>
  <c r="C245" i="2"/>
  <c r="D245" i="2" s="1"/>
  <c r="E421" i="2"/>
  <c r="F413" i="2"/>
  <c r="E410" i="2"/>
  <c r="E411" i="2" s="1"/>
  <c r="F415" i="2" s="1"/>
  <c r="G303" i="2"/>
  <c r="D301" i="2"/>
  <c r="I297" i="2"/>
  <c r="F283" i="2"/>
  <c r="H271" i="2"/>
  <c r="I271" i="2" s="1"/>
  <c r="G271" i="2"/>
  <c r="D271" i="2"/>
  <c r="F271" i="2" s="1"/>
  <c r="C271" i="2"/>
  <c r="B271" i="2"/>
  <c r="B268" i="2" s="1"/>
  <c r="E267" i="2"/>
  <c r="F267" i="2" s="1"/>
  <c r="E245" i="2" l="1"/>
  <c r="B246" i="2"/>
  <c r="G267" i="2"/>
  <c r="C268" i="2"/>
  <c r="B269" i="2"/>
  <c r="F414" i="2"/>
  <c r="B247" i="2" l="1"/>
  <c r="C246" i="2"/>
  <c r="F245" i="2"/>
  <c r="C269" i="2"/>
  <c r="F268" i="2"/>
  <c r="D268" i="2"/>
  <c r="H267" i="2"/>
  <c r="G245" i="2" l="1"/>
  <c r="C247" i="2"/>
  <c r="F246" i="2"/>
  <c r="G246" i="2" s="1"/>
  <c r="H246" i="2" s="1"/>
  <c r="D246" i="2"/>
  <c r="D269" i="2"/>
  <c r="E268" i="2"/>
  <c r="E269" i="2" s="1"/>
  <c r="F275" i="2" s="1"/>
  <c r="F277" i="2" s="1"/>
  <c r="G268" i="2"/>
  <c r="F269" i="2"/>
  <c r="E246" i="2" l="1"/>
  <c r="E247" i="2" s="1"/>
  <c r="D247" i="2"/>
  <c r="G247" i="2"/>
  <c r="H245" i="2"/>
  <c r="H247" i="2" s="1"/>
  <c r="I251" i="2" s="1"/>
  <c r="F247" i="2"/>
  <c r="H268" i="2"/>
  <c r="H269" i="2" s="1"/>
  <c r="I273" i="2" s="1"/>
  <c r="G269" i="2"/>
  <c r="C184" i="2" l="1"/>
  <c r="C181" i="2" s="1"/>
  <c r="D192" i="2"/>
  <c r="C180" i="2" s="1"/>
  <c r="D180" i="2" s="1"/>
  <c r="E180" i="2" l="1"/>
  <c r="C182" i="2"/>
  <c r="D184" i="2"/>
  <c r="E184" i="2" s="1"/>
  <c r="D181" i="2" l="1"/>
  <c r="F180" i="2"/>
  <c r="G180" i="2" s="1"/>
  <c r="H180" i="2" l="1"/>
  <c r="E181" i="2"/>
  <c r="D182" i="2"/>
  <c r="F181" i="2" l="1"/>
  <c r="E182" i="2"/>
  <c r="F182" i="2" s="1"/>
  <c r="G184" i="2" s="1"/>
  <c r="H184" i="2" s="1"/>
  <c r="I184" i="2" s="1"/>
  <c r="G181" i="2" l="1"/>
  <c r="H181" i="2" l="1"/>
  <c r="H182" i="2" s="1"/>
  <c r="I186" i="2" s="1"/>
  <c r="G182" i="2"/>
  <c r="F144" i="2" l="1"/>
  <c r="D136" i="2"/>
  <c r="D123" i="2"/>
  <c r="F108" i="2"/>
  <c r="E108" i="2"/>
  <c r="E144" i="2" s="1"/>
  <c r="D108" i="2"/>
  <c r="D144" i="2" s="1"/>
  <c r="C108" i="2"/>
  <c r="C105" i="2" s="1"/>
  <c r="D83" i="2"/>
  <c r="F76" i="2" s="1"/>
  <c r="E31" i="2"/>
  <c r="D31" i="2"/>
  <c r="D27" i="2" s="1"/>
  <c r="I28" i="2"/>
  <c r="E182" i="1"/>
  <c r="E174" i="1" s="1"/>
  <c r="G150" i="1"/>
  <c r="F120" i="1" s="1"/>
  <c r="F140" i="1"/>
  <c r="F141" i="1" s="1"/>
  <c r="G149" i="1" s="1"/>
  <c r="E120" i="1"/>
  <c r="E118" i="1"/>
  <c r="F118" i="1" s="1"/>
  <c r="D122" i="1"/>
  <c r="E122" i="1" s="1"/>
  <c r="F122" i="1" s="1"/>
  <c r="D120" i="1"/>
  <c r="D118" i="1"/>
  <c r="D29" i="2" l="1"/>
  <c r="E27" i="2"/>
  <c r="E29" i="2" s="1"/>
  <c r="D105" i="2"/>
  <c r="C141" i="2"/>
  <c r="C106" i="2"/>
  <c r="C144" i="2"/>
  <c r="C76" i="2"/>
  <c r="C73" i="2" s="1"/>
  <c r="D76" i="2"/>
  <c r="E76" i="2"/>
  <c r="F119" i="1"/>
  <c r="F123" i="1" s="1"/>
  <c r="C74" i="2" l="1"/>
  <c r="D73" i="2"/>
  <c r="C142" i="2"/>
  <c r="D141" i="2"/>
  <c r="E105" i="2"/>
  <c r="D106" i="2"/>
  <c r="F105" i="2" l="1"/>
  <c r="F106" i="2" s="1"/>
  <c r="E106" i="2"/>
  <c r="E141" i="2"/>
  <c r="D142" i="2"/>
  <c r="D74" i="2"/>
  <c r="E73" i="2"/>
  <c r="F73" i="2" l="1"/>
  <c r="F74" i="2" s="1"/>
  <c r="E74" i="2"/>
  <c r="F141" i="2"/>
  <c r="F142" i="2" s="1"/>
  <c r="E142" i="2"/>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tc={066BA13C-B1EF-3644-926A-8746094D2EB0}</author>
  </authors>
  <commentList>
    <comment ref="L98" authorId="0" shapeId="0" xr:uid="{066BA13C-B1EF-3644-926A-8746094D2EB0}">
      <text>
        <t>[Threaded comment]
Your version of Excel allows you to read this threaded comment; however, any edits to it will get removed if the file is opened in a newer version of Excel. Learn more: https://go.microsoft.com/fwlink/?linkid=870924
Comment:
    בשנת 2009, לא הוגדר ערך שייר / גרט. לעומת זאת, ב-2010 הוגדר גרט בסך 150. לכן, יש להוסיף לתזרימי המזומנים התפעוליים מהנכס גם את שווי השייר שצפוי להתקבל כתזרים נוסף יחד עם ההכנסות נטו בשנה האחרונה.</t>
      </text>
    </comment>
  </commentList>
</comments>
</file>

<file path=xl/sharedStrings.xml><?xml version="1.0" encoding="utf-8"?>
<sst xmlns="http://schemas.openxmlformats.org/spreadsheetml/2006/main" count="3382" uniqueCount="2572">
  <si>
    <t>חשבונאות פיננסית א - מפגש מס׳ 1 - 13.3.2025: הבסיס לחשבונאות אמיתית, והתחלת למידה משמעותית של IAS 16</t>
  </si>
  <si>
    <t>המרצה:</t>
  </si>
  <si>
    <t>ד״ר צבאן</t>
  </si>
  <si>
    <t>shay.tsaban@gmail.com</t>
  </si>
  <si>
    <t>050-6551519</t>
  </si>
  <si>
    <t>מייל:</t>
  </si>
  <si>
    <t>פון - לא זמין אל תפנה:</t>
  </si>
  <si>
    <t>אינסטגרם:</t>
  </si>
  <si>
    <t>shay.tsaban</t>
  </si>
  <si>
    <t>פייסבוק:</t>
  </si>
  <si>
    <t>Shay Tsaban</t>
  </si>
  <si>
    <t>מטרת על:</t>
  </si>
  <si>
    <t>אנחנו רוצים לתקוף ולהקיף באופן יסודי ועמוק הגדרות וסוגיות חשבונאיות, כדי לעבור מסטטוס ״טכנאי שיניים״</t>
  </si>
  <si>
    <t>שיודעים ליישם מה שאמרו להם, לסטטוס ״חשבונאים וחשבונאיות״ שמבינים לעומק מה עומד מאחורי הנחיות העבודה,</t>
  </si>
  <si>
    <t>אילו גישות עבודה או חישוב נוספות מקובלות מעבר למה שנלמד, מה ההיגיון וכיצד לטפל בסיטואציות מורכבות.</t>
  </si>
  <si>
    <t>הדיון יתחיל בעולמות הרכוש הקבוע - בהתבסס על הנחיות תקן דיווח כספי בינלאומי מס׳ 16 - IAS 16</t>
  </si>
  <si>
    <t>International</t>
  </si>
  <si>
    <t>Accounting</t>
  </si>
  <si>
    <t>Standard</t>
  </si>
  <si>
    <t>אופן הלמידה:</t>
  </si>
  <si>
    <t xml:space="preserve">אתר הקורס הייעודי החיצוני לידיעון יופץ לכם אחרי ההפסקה. </t>
  </si>
  <si>
    <t>האתר יכלול את הקובץ הזה, שיתעדכן משיעור לשיעור עם כל התוכן הרלוונטי;</t>
  </si>
  <si>
    <t>סרטונים קצרים להסבר סוגיות מרכזיות;</t>
  </si>
  <si>
    <t>תרגילים נוספים ופתרונות.</t>
  </si>
  <si>
    <t>משאבים נוספים שנגדיר מעת לעת.</t>
  </si>
  <si>
    <t>כשאני מדבר על אתר הקורס - אתר ההרצאות.</t>
  </si>
  <si>
    <t xml:space="preserve">התרגולים של רו״ח אבירם אטיאס יתנהלו בנפרד, דרך המערכת הרגילה, באופן חופף לתכנים שלנו. </t>
  </si>
  <si>
    <t>נושא ראשון - רכוש קבוע - IAS 16 - Property, Plant and Equipment: לא מה שחשבת</t>
  </si>
  <si>
    <t>כאשר אנו רוצים ללמוד חשבונאות באמת - אנחנו רוצים להבין את המהות, את ההגדרות. לא רק לקבל הנחיות</t>
  </si>
  <si>
    <t xml:space="preserve">של ״מה לחלק במה״. ההנחיות הללו ניתנות במסגרת מסמכים שנקראים ״תקני חשבונאות״. </t>
  </si>
  <si>
    <t>תקני חשבונאות קיימים מ-3 סוגים עיקריים:</t>
  </si>
  <si>
    <t xml:space="preserve">א. תקני חשבונאות בינלאומיים - מסמכיהם נקראים IAS (הישנים) או IFRS (החדשים). </t>
  </si>
  <si>
    <t xml:space="preserve">ב. תקני חשבונאות אמריקאיים - נקראים FAS והמערכת כולה נקראת US GAAP. </t>
  </si>
  <si>
    <t xml:space="preserve">ג. תקני חשבונאות ישראליים - השימוש בהם הולך ופוחת אבל עדיין רלוונטיים לעסקים קטנים. </t>
  </si>
  <si>
    <t>פוקוס:</t>
  </si>
  <si>
    <t>דיון בסעיפי התקן IAS 16 והדגמות</t>
  </si>
  <si>
    <t>למקבלי החלטות בכל מה שקשור לניתוב משאבים לישות המדווח. בפשטות: אם אני שוקל להשקיע בחברה (במניותיה,</t>
  </si>
  <si>
    <t>להיות חלק מהבעלים שלה) או להלוות לה כסף (בנק), אני צריך מידע כספי. והמידע הכספי שיעזור להחלטות אלו</t>
  </si>
  <si>
    <r>
      <t xml:space="preserve">הוא המידע המיועד למשתמשים. תקצר ברו: </t>
    </r>
    <r>
      <rPr>
        <b/>
        <sz val="12"/>
        <color theme="1"/>
        <rFont val="David"/>
        <family val="2"/>
        <charset val="177"/>
      </rPr>
      <t>משתמשים = קודם כל (אבל לא רק) משקיעים.</t>
    </r>
    <r>
      <rPr>
        <sz val="12"/>
        <color theme="1"/>
        <rFont val="David"/>
        <family val="2"/>
        <charset val="177"/>
      </rPr>
      <t xml:space="preserve"> </t>
    </r>
  </si>
  <si>
    <r>
      <rPr>
        <b/>
        <sz val="12"/>
        <color theme="1"/>
        <rFont val="David"/>
        <family val="2"/>
        <charset val="177"/>
      </rPr>
      <t>משתמשים בדוחות הכספיים</t>
    </r>
    <r>
      <rPr>
        <sz val="12"/>
        <color theme="1"/>
        <rFont val="David"/>
        <family val="2"/>
        <charset val="177"/>
      </rPr>
      <t xml:space="preserve">: הדיווח הכספי שעליו מדברת החשבונאות הפיננסית מיועד בראש ובראשונה לסייע </t>
    </r>
  </si>
  <si>
    <r>
      <rPr>
        <b/>
        <sz val="12"/>
        <color theme="1"/>
        <rFont val="David"/>
        <family val="2"/>
        <charset val="177"/>
      </rPr>
      <t>הישות</t>
    </r>
    <r>
      <rPr>
        <sz val="12"/>
        <color theme="1"/>
        <rFont val="David"/>
        <family val="2"/>
        <charset val="177"/>
      </rPr>
      <t xml:space="preserve">: התאגיד - חברה, מוסד ללא כוונת רווח (עמותה וכן הלאה), שותפות. </t>
    </r>
  </si>
  <si>
    <t xml:space="preserve">לשאלה מתי יוצג פריט בדיווח. </t>
  </si>
  <si>
    <r>
      <rPr>
        <b/>
        <sz val="12"/>
        <color theme="1"/>
        <rFont val="David"/>
        <family val="2"/>
        <charset val="177"/>
      </rPr>
      <t>הכרה בנכסים:</t>
    </r>
    <r>
      <rPr>
        <sz val="12"/>
        <color theme="1"/>
        <rFont val="David"/>
        <family val="2"/>
        <charset val="177"/>
      </rPr>
      <t xml:space="preserve"> מתי מציגים פריט רכוש קבוע בדוחות? כאשר הוא נרכש? כאשר הוא מגיע אליי? הכרה היא התשובה</t>
    </r>
  </si>
  <si>
    <r>
      <rPr>
        <b/>
        <sz val="12"/>
        <color theme="1"/>
        <rFont val="David"/>
        <family val="2"/>
        <charset val="177"/>
      </rPr>
      <t>קביעת ערכם בספרים</t>
    </r>
    <r>
      <rPr>
        <sz val="12"/>
        <color theme="1"/>
        <rFont val="David"/>
        <family val="2"/>
        <charset val="177"/>
      </rPr>
      <t xml:space="preserve">: כיצד נכס הרכוש הקבוע יוצג בדיווחים. </t>
    </r>
  </si>
  <si>
    <t>הוצאות פחת הן ערך שקורה באופן טבעי ומתמשך, ואילו ירידת ערך היא אירוע נקודתי שנובע מנסיבות מיוחדות.</t>
  </si>
  <si>
    <r>
      <rPr>
        <b/>
        <sz val="12"/>
        <color rgb="FF000000"/>
        <rFont val="David"/>
        <family val="2"/>
        <charset val="177"/>
      </rPr>
      <t>והוצאות פחת והפסדים מירידת ערך:</t>
    </r>
    <r>
      <rPr>
        <sz val="12"/>
        <color rgb="FF000000"/>
        <rFont val="David"/>
        <family val="2"/>
        <charset val="177"/>
      </rPr>
      <t xml:space="preserve"> על הפסדים וההבדל בינם לבין הוצאות פחת נטפל בנפרד; בגסות רבה</t>
    </r>
  </si>
  <si>
    <r>
      <t xml:space="preserve">נדל״ן להשקעה: </t>
    </r>
    <r>
      <rPr>
        <sz val="12"/>
        <color theme="1"/>
        <rFont val="David"/>
        <family val="2"/>
        <charset val="177"/>
      </rPr>
      <t>מבנה / קרקע שילוב אשר מוחזק אך ורק לשם אחת או יותר מהמטרות הבאות:</t>
    </r>
  </si>
  <si>
    <t>א. עליית ערך הונית</t>
  </si>
  <si>
    <t>ב. השכרה</t>
  </si>
  <si>
    <t>דוגמה קטנה 1</t>
  </si>
  <si>
    <t xml:space="preserve">חברת ״קנלו״ בע״מ רכשה מבנה משרדים ב-1.1.2020 בעלות של 1,000,000 ש״ח. </t>
  </si>
  <si>
    <t>מתוך עלות המבנה, חלק של 25% מיוחס לקרקע.</t>
  </si>
  <si>
    <t xml:space="preserve">החברה עוסקת בחימום נקניק. </t>
  </si>
  <si>
    <t>מבנה המשרדים כולל 10 קומות ומשרת את החברה כדלקמן:</t>
  </si>
  <si>
    <t>מס׳ קומות</t>
  </si>
  <si>
    <t>ייעוד</t>
  </si>
  <si>
    <t>הנהלה</t>
  </si>
  <si>
    <t>אולם תצוגה ללקוחות</t>
  </si>
  <si>
    <t>מחסן</t>
  </si>
  <si>
    <t>חימום נקניק וטחינת כרבולות</t>
  </si>
  <si>
    <t>נדרש:</t>
  </si>
  <si>
    <t>א. כיצד יסווג הפריט? ספציפית - כרכוש קבוע או כנדל״ן להשקעה?</t>
  </si>
  <si>
    <t>ב. הניחו כעת כי החברה פינתה את כל קומות המבנה, והיא משכירה אותו לגורם חיצוני. כיצד יסווג הפריט?</t>
  </si>
  <si>
    <t>ג. הניחו כעת כי החברה פינתה את כל קומות המבנה והפכה אותו לבית מלון - ״נאות הנקניק״. כיצד יסווג הפריט?</t>
  </si>
  <si>
    <t>סעיף</t>
  </si>
  <si>
    <t>א</t>
  </si>
  <si>
    <t>פתרון</t>
  </si>
  <si>
    <t>רכוש קבוע, הפריט משרת את החברה עצמה (למטרות שונות) ואיננו מוחזק רק לשם מכירה ברווח בעתיד</t>
  </si>
  <si>
    <t xml:space="preserve">הרחוק ו/או להשכרה. </t>
  </si>
  <si>
    <t>ב</t>
  </si>
  <si>
    <t>לפי ההגדרה, אם פריט המבנה משרת אך ורק לשם השכרה, מדובר בנדל״ן להשקעה.</t>
  </si>
  <si>
    <t>ג</t>
  </si>
  <si>
    <t>אמנם בבית מלון מושכרים חדרים (לכאורה מזכיר נדל״ן להשקעה) אבל היקף השירותים שמסופק</t>
  </si>
  <si>
    <t>לאורחי המלון גדול בהרבה; להפעיל בית מלון זה ביזנס ממש, לא סתם השכרה. ולכן, בית מלון שבבעלותי</t>
  </si>
  <si>
    <t>ומופעל על ידי - הוא רכוש קבוע מבחינתי.</t>
  </si>
  <si>
    <t xml:space="preserve">בעוד שסוגיית הפחת הנצבר מוכרת לכולנו, סוגיית ירידת הערך - פחות מוכרת. </t>
  </si>
  <si>
    <t>דוגמה קטנה 2</t>
  </si>
  <si>
    <t>חברת ״נקניקי חן״ בע״מ רכשה ב-1.1.2020 מבנה משרדים בנהריה לשימוש הנהלת החברה. הואיל והמבנה בטבריה,</t>
  </si>
  <si>
    <t>יש להניח שעלות הקרקע זניחה.</t>
  </si>
  <si>
    <t>עלות המבנה היא 1,000,000 ש״ח. אורך החיים השימושיים של המבנה הוא 50 שנה והוא מופחת בשיטת הקו הישר.</t>
  </si>
  <si>
    <t>א. מהו ערך הספרים של המבנה ליום 31.12.2024?</t>
  </si>
  <si>
    <t xml:space="preserve">ב. הניחו כעת שערב עריכת הדוחות ליום 31.12.2026 משאית אוטונומית נכנסה בקיר המבנה והסבה לו נזק. </t>
  </si>
  <si>
    <t xml:space="preserve">נכון למועד זה שוויו ההוגן של המבנה הוא 700,000 ש״ח וזאת בהתאם להערכת שמאי המתחשבת בנזק הנ״ל. </t>
  </si>
  <si>
    <t>כמו כן, החברה מעריכה שבמצבו הנוכחי, המבנה צפוי להניב לה בתום כל שנה הכנסות תזרימיות נטו בסכום של 20,000 ש״ח.</t>
  </si>
  <si>
    <t>מחיר ההון של החברה הוא 5%.</t>
  </si>
  <si>
    <t>נדרש: מהו ערך הספרים של המבנה ל-31.12.2026?</t>
  </si>
  <si>
    <t>פתרון (א+ב):</t>
  </si>
  <si>
    <t>כאשר פריט עובר שינוי משמעותי (זעזוע) כגון ירידת ערך  / השבחות / שיפוצים / הערכה מחדש של שווי - הדרך הנעימה</t>
  </si>
  <si>
    <t xml:space="preserve">ביותר לטפל היא להציג את הערך העדכני לפני השינוי ואחריו. </t>
  </si>
  <si>
    <t xml:space="preserve">במקרה שלנו חל שינוי ב-31.12.2026 כדי לטפל בו בצורה טובה, נייצר שתי עמודות לתום שנה זו - לפני השינוי </t>
  </si>
  <si>
    <t>לפני י״ע</t>
  </si>
  <si>
    <t>אחרי י״ע</t>
  </si>
  <si>
    <t xml:space="preserve">לפני ההתחשבות בירידת ערך (י״ע), ואחריה. </t>
  </si>
  <si>
    <t>ערך</t>
  </si>
  <si>
    <t>הסכום שהוכר</t>
  </si>
  <si>
    <t>עלות</t>
  </si>
  <si>
    <t>פחת נצבר</t>
  </si>
  <si>
    <t>הפסדים מי״ע שנצברו</t>
  </si>
  <si>
    <t>בניכוי</t>
  </si>
  <si>
    <t>ערך ספרים</t>
  </si>
  <si>
    <t>הוצאות פחת</t>
  </si>
  <si>
    <t>מה לגבי האופן שבו הפריט ימדד לאחר הנזק 31.12.2026?</t>
  </si>
  <si>
    <t xml:space="preserve">השווי הנתון - הוא 700,000 ש״ח. בהיעדר נתונים סותרים, החברה יכולה למכור את הפריט בסכום זה. </t>
  </si>
  <si>
    <t>אבל, לחילופין, החברה יכולה לקחת את הפריט הזה ולהשתמש בו. על פי נתוני השאלה, אם היא תמשיך להשתמש בו</t>
  </si>
  <si>
    <t>היא תקבל:</t>
  </si>
  <si>
    <t>כל שנה</t>
  </si>
  <si>
    <t>מספר שנים</t>
  </si>
  <si>
    <t xml:space="preserve">50 - 7 = </t>
  </si>
  <si>
    <t>ריבית לשנה</t>
  </si>
  <si>
    <t>מחיר הון - נתון</t>
  </si>
  <si>
    <t>תשלומים שכוללת 20,000 ש״ח בתום כל שנה 43 שנים בריבית 5%. כדי לדעת מה השווי בחלופת השימוש, צריך להשתמש</t>
  </si>
  <si>
    <t xml:space="preserve">בכלים שנלמדו מעולם המימון - לחשב PV (ערך נוכחי) של התקבולים מהשימוש המתמשך. </t>
  </si>
  <si>
    <t>כדי לחשב ערך נוכחי של סדרה קבועה ב-Excel:</t>
  </si>
  <si>
    <t>rate</t>
  </si>
  <si>
    <t>nper</t>
  </si>
  <si>
    <t>pmt</t>
  </si>
  <si>
    <t>pv</t>
  </si>
  <si>
    <t>fv</t>
  </si>
  <si>
    <t>הריבית התקופתית / מחיר ההון</t>
  </si>
  <si>
    <t>מספר התשלומים</t>
  </si>
  <si>
    <t xml:space="preserve">סכום התשלום התקופתי </t>
  </si>
  <si>
    <t>סכום חד פעמי שמתקבל ״בסוף״ (כאן-אין)</t>
  </si>
  <si>
    <t>הערך המחולץ - השווי להיום של הסדרה</t>
  </si>
  <si>
    <r>
      <t xml:space="preserve">בעצם, אמנם החברה יכולה לקבל שווי של </t>
    </r>
    <r>
      <rPr>
        <b/>
        <sz val="12"/>
        <color rgb="FFFF0000"/>
        <rFont val="David"/>
        <family val="2"/>
        <charset val="177"/>
      </rPr>
      <t>700,000</t>
    </r>
    <r>
      <rPr>
        <sz val="12"/>
        <color theme="1"/>
        <rFont val="David"/>
        <family val="2"/>
        <charset val="177"/>
      </rPr>
      <t>; אבל היא יכולה גם להמשיך להשתמש, ואז תקבל שווי של סדרת</t>
    </r>
  </si>
  <si>
    <t>החשבונאות קובעת: כאשר מזהים סממן לירידת ערך (כמו כאן) יחושב סכום ״בר השבה״ (Recoverable Amount).</t>
  </si>
  <si>
    <t xml:space="preserve">החברה למעשה יכולה לקבל על הפריט 700,000 (לפי הערכת השווי) או 350,918 (ערך נוכחי של שימוש מתמשך). </t>
  </si>
  <si>
    <t>הואיל והבחירה היא של החברה - לגבי מה לעשות עם הנכס - הערך שייבחר כסכום בר השבה הוא הגבוה מבין השניים.</t>
  </si>
  <si>
    <t>בקצרה:</t>
  </si>
  <si>
    <t>שווי נתון</t>
  </si>
  <si>
    <t>שווי שימוש (הערך הנוכחי הנובע מהשימושים)</t>
  </si>
  <si>
    <t>הגבוה מביניהם - סכום בר השבה (סב״ה)</t>
  </si>
  <si>
    <t>הבסיס לבדיקת ירידת הערך</t>
  </si>
  <si>
    <t>לעניין ירידת הערך:</t>
  </si>
  <si>
    <t>הראינו שלפני בדיקת הנזק, ערך הספרים של הפריט היה 860,000 ש״ח.</t>
  </si>
  <si>
    <t xml:space="preserve">לאחר הנזק, הערך המירבי שניתן להניב מהפריט (סכום בר השבה): 700,000 ש״ח. </t>
  </si>
  <si>
    <t xml:space="preserve">הירידה מ-860,000 ל-700,000 היא למעשה ההפסד מירידת ערך. </t>
  </si>
  <si>
    <t>הפסד מירידת ערך</t>
  </si>
  <si>
    <t xml:space="preserve">עיליי בע״מ רכשה מחברת איתי מכונה ענקית לחימום נקניק. </t>
  </si>
  <si>
    <t xml:space="preserve">לטובת הרכישה, שילמה עיליי במזומן 50,000 ש״ח, והוסכם שתשלם בעוד שנתיים סכום נוסף של 200,000 ש״ח. </t>
  </si>
  <si>
    <t xml:space="preserve">כמו כן, החברה תמסור לטובת המכונה נקניק נוי שנמצא במשרד המנכ״ל ואשר שוויו מוערך ב-80,000 ש״ח. </t>
  </si>
  <si>
    <t xml:space="preserve">מסירת נקניק הנוי תבוצע מיד במועד הרכישה. </t>
  </si>
  <si>
    <t>עם הגעתה של מכונת חימום הנקניק לחברה, יש לנקות ממנה את שרידי הכרבולות הטחונות והפופיקים, בעלות</t>
  </si>
  <si>
    <t xml:space="preserve">של 5,000 ש״ח. </t>
  </si>
  <si>
    <t xml:space="preserve">כמו כן, יש לשלוח את עובדי החברה להשתלמות בתחום חימום הנקניק בפולין בעלות 15,000 ש״ח. </t>
  </si>
  <si>
    <t xml:space="preserve">דמי התחזוקה השנתיים של המכונה הם 8,000 ש״ח. </t>
  </si>
  <si>
    <t>מחיר ההון של החברה הוא 10% לשנה.</t>
  </si>
  <si>
    <t>נדרש: מהו הערך המוגדר בתור עלות הפריט, בהתאם לנתונים הנ״ל?</t>
  </si>
  <si>
    <t>תיאור</t>
  </si>
  <si>
    <t>ערך שנכלול</t>
  </si>
  <si>
    <t>הסבר / חישוב</t>
  </si>
  <si>
    <t>תשלום במזומן</t>
  </si>
  <si>
    <t>שווי היום (במזומן, PV) של תשלום בעתיד</t>
  </si>
  <si>
    <t>(*)</t>
  </si>
  <si>
    <t>חישוב PV של תשלום בעתיד:</t>
  </si>
  <si>
    <t>פרק הזמן בשנים עד התשלום</t>
  </si>
  <si>
    <t>מחיר ההון / הריבית לשנה</t>
  </si>
  <si>
    <t>התזרים הקבוע בסדרה</t>
  </si>
  <si>
    <t>כאן אין סדרה, אלא סכום יחיד בסוף, בתום השנתיים</t>
  </si>
  <si>
    <t>סכום חד פעמי בעתיד</t>
  </si>
  <si>
    <t>הסכום המשולם בעתיד</t>
  </si>
  <si>
    <t>ביצוע הפונקציה וחישוב</t>
  </si>
  <si>
    <t>נתון</t>
  </si>
  <si>
    <t>ראו למטה</t>
  </si>
  <si>
    <t>שווי תמורה שניתנה כנקניק נוי לפי איור</t>
  </si>
  <si>
    <t>מה לגבי עלות הניקוי?</t>
  </si>
  <si>
    <t xml:space="preserve">נשאלת השאלה, האם עלות הניקוי היא הוצאה או חלק מעלות הנכס. </t>
  </si>
  <si>
    <t xml:space="preserve">זו בהחלט דילמה. </t>
  </si>
  <si>
    <t>הפרשנות שאנו מייחסים לאירוע על פי התיאור היא שנדרש לנקות את המכונה כדי להכשיר אותה לשימוש.</t>
  </si>
  <si>
    <t xml:space="preserve">עלויות ההכשרה של הפריט לשימוש ראשוני הן בעצם חלק מעלויות ה״הקמה״ או ״היצירה״ שלו, </t>
  </si>
  <si>
    <t xml:space="preserve">ולפיכך הן חלק מעלותו. </t>
  </si>
  <si>
    <t>רוכש</t>
  </si>
  <si>
    <t>מוביל</t>
  </si>
  <si>
    <t>מתקין</t>
  </si>
  <si>
    <t>פעולות</t>
  </si>
  <si>
    <t>נוספות</t>
  </si>
  <si>
    <t>זמין</t>
  </si>
  <si>
    <t>לשימוש</t>
  </si>
  <si>
    <t xml:space="preserve">כל העלויות החיוניות עד להבאת הפריט </t>
  </si>
  <si>
    <t>למצב זמין לשימוש הן חלק מעלותו</t>
  </si>
  <si>
    <t>תחזוקה</t>
  </si>
  <si>
    <t>שוטפת</t>
  </si>
  <si>
    <t>חשמל</t>
  </si>
  <si>
    <t>הדרכות</t>
  </si>
  <si>
    <t>כל העלויות האלו אינן חלק מעלות הפריט</t>
  </si>
  <si>
    <t>אלא הוצאות</t>
  </si>
  <si>
    <t>עלות ניקוי</t>
  </si>
  <si>
    <t>והשתלמות</t>
  </si>
  <si>
    <t>חשבונאות פיננסית א - מפגש 2 - 20/3/2025 - המשך רכוש קבוע, הגדרות ודיון מקצועי</t>
  </si>
  <si>
    <t>במפגש הקודם התחלנו להתוות עקרונות ועיקרים ב-IAS 16, היום נמשיך אך נכניס רכיב תרגולי משמעותי יותר.</t>
  </si>
  <si>
    <t>הגדרה: ערך שייר</t>
  </si>
  <si>
    <t xml:space="preserve">בהתאם לתקן, כדי לחשב את הסכום ״בר הפחת״ (מה מפחיתים) יש להתבסס על העלות בניכוי ערך השייר. </t>
  </si>
  <si>
    <t>דוגמה:</t>
  </si>
  <si>
    <t xml:space="preserve">חברת ״נקניקי העיר״ רכשה מכונית מאזדה 3 ב-1.1.2020. </t>
  </si>
  <si>
    <t>החברה מחזיקה במכוניותיה 3 שנים בלבד, וזאת כמדיניות עקרונית.</t>
  </si>
  <si>
    <t>עלות המכונית 130,000 ש״ח.</t>
  </si>
  <si>
    <t xml:space="preserve">בעיקרון, מכוניות כאלו מסוגלות לתפקד ללא תקלות מהותיות במשך 10 שנים. </t>
  </si>
  <si>
    <t>בנוסף, ההערכה היא שבתום 10 השנים שווי המכונית יהיה 30,000 ש״ח.</t>
  </si>
  <si>
    <t>מכוניות מדגם זה, לפי מחירון לוי יצחק, ממודל 2017 הן בעלות שווי של 60,000 ש״ח.</t>
  </si>
  <si>
    <t xml:space="preserve">לא היו שינויים מהותיים בין מודל 2017 למודל 2020. </t>
  </si>
  <si>
    <t>חשבו והציגו את ערך הספרים של הנכס לתום כל אחת מהשנים 2020 ו-2021, ואת הוצאות הפחת לכל אחת משנים</t>
  </si>
  <si>
    <t xml:space="preserve">אלו (הנחה: ברירת המחדל בדבר חישובי הפחת אצלנו היא תמיד קו ישר, אלא אם נאמר אחרת). </t>
  </si>
  <si>
    <t>הפרשה לירידת ערך</t>
  </si>
  <si>
    <t>בשיטת הקו הישר:</t>
  </si>
  <si>
    <t>הוצאות הפחת מחושבות על ידי היחס</t>
  </si>
  <si>
    <t xml:space="preserve">שבין: </t>
  </si>
  <si>
    <t>עלות בניכוי שייר (מונה)</t>
  </si>
  <si>
    <t>תקופת הפחתה בשנים (מכנה)</t>
  </si>
  <si>
    <t>הסבר מורחב:</t>
  </si>
  <si>
    <r>
      <t xml:space="preserve">התקן IAS 16 מגדיר ערך שייר בתור השווי של הפריט </t>
    </r>
    <r>
      <rPr>
        <b/>
        <sz val="12"/>
        <color theme="1"/>
        <rFont val="David"/>
        <family val="2"/>
        <charset val="177"/>
      </rPr>
      <t xml:space="preserve">אם הוא היה </t>
    </r>
    <r>
      <rPr>
        <sz val="12"/>
        <color theme="1"/>
        <rFont val="David"/>
        <family val="2"/>
        <charset val="177"/>
      </rPr>
      <t>בגיל ובמצב שמאפיין את תום חייו השימושיים.</t>
    </r>
  </si>
  <si>
    <t xml:space="preserve">בעברית: על פי הגדרות החברה היא משתמשת במכוניות 3 שנים בלבד. </t>
  </si>
  <si>
    <t xml:space="preserve">לכן אורך החיים השימושיים של המכונית הוא 3 שנים (אין קשר לאורך החיים הכלכליים). </t>
  </si>
  <si>
    <t>ובהתאם ערך השייר חייב להקבע באופן שמהווה את האומדן לשווי מכונית לאחר 3 שנים.</t>
  </si>
  <si>
    <t>הואיל ואנחנו לא יודעים מה יהיה שווי המכונית הספציפית שרכשנו עוד 3 שנים, אנחנו מתבססים על השווי של מכונית</t>
  </si>
  <si>
    <t>שהיא בת 3 שנים היום - וזוהי מכונית ממודל 2017 ששוויה 60,000 ש״ח.</t>
  </si>
  <si>
    <t xml:space="preserve">בקצרה: ערך שייר = אומדן שווי בתום חיים שימושיים בחברה; אורך חיים שימושיים = תקופת שימוש צפויה בחברה. </t>
  </si>
  <si>
    <t>הגדרה נוספת - אורך חיים שימושיים - קוז׳פול לייף</t>
  </si>
  <si>
    <t xml:space="preserve">בעוד שאת שיטות הפחת העיקריות הקשורות למקרה (א) אנחנו מכירים (קו ישר, סכום ספרות). </t>
  </si>
  <si>
    <t>שיטת הפחת הקשורה למקרה ב - דורשת הצגה. הרעיון מאחוריה הוא לייצג דפוס הפחתה שנשען על אינטנסיביות השימוש</t>
  </si>
  <si>
    <t xml:space="preserve">בפריט - אם קורעים לו את הצורה הפחת יהיה גבוה, ואם משתמשים בו בעדינות - פחת נמוך. </t>
  </si>
  <si>
    <t>דוגמה</t>
  </si>
  <si>
    <t xml:space="preserve">עיליי רכש מכונה ענקית לטחינת כרבולות לשימוש החברה. עלות המכונה 500,000 ש״ח ומועד רכישתה 1.8.2022. </t>
  </si>
  <si>
    <t xml:space="preserve">המכונה מופחתת בשיטת יחידות התפוקה ללא ערך שייר / גרט. </t>
  </si>
  <si>
    <t>בסך הכל, בהתאם לנתוני היצרן, המכונה הנ״ל מסוגלת לטחון 250 טון כרבולות במהלך חייה. לאחר מכן, יש צורך</t>
  </si>
  <si>
    <t>להחליף מכלולים רבים שהופכים את המשך תחזוקתה ללא כלכלי בעליל.</t>
  </si>
  <si>
    <t>להלן נתונים בדבר היקף טחינת הכרבולות על ידי עיליי בשנים שונות:</t>
  </si>
  <si>
    <t>שנה</t>
  </si>
  <si>
    <t>טון כרבול טחון</t>
  </si>
  <si>
    <t xml:space="preserve">נדרש: חשבו והציגו את ערך הספרים של הנכס ואת הוצאות הפחת בתום כל אחת מהשנים. </t>
  </si>
  <si>
    <t>פחת נזבר</t>
  </si>
  <si>
    <t xml:space="preserve">הדר הציע: נתבסס על עלות הפריט (500,000) בניכוי ערך השייר (כאן - אין, לכן 0) ובמקום לחלק בשנות ההפחתה, </t>
  </si>
  <si>
    <t xml:space="preserve">מה שמקובל מאד בקו ישר על פני זמן, נחלק בקיבולת התפוקה (היקף התפוקה הכולל הצפוי לאורך חיי הפריט). </t>
  </si>
  <si>
    <t>זה אומר שאפשר, ודי בקלות, לחשב את הוצאות הפחת לטון כרבולת טחון אחד:</t>
  </si>
  <si>
    <t xml:space="preserve">(500,000 - 0) / 250 = </t>
  </si>
  <si>
    <t>פחת לטון כרבול טחון</t>
  </si>
  <si>
    <t>אם נכפול את הפחת לטון במספר הטונות שטוחנים כל שנה, נוכל להגיע להוצאות הפחת לכל שנה</t>
  </si>
  <si>
    <t>דוגמה נוספת</t>
  </si>
  <si>
    <t xml:space="preserve">מרווה רכשה מכונה ענקית למתיחת מעיים לשימוש החברה. עלות המכונה 300,000 ש״ח ומועד רכישתה 1.10.2022. </t>
  </si>
  <si>
    <t>בסך הכל, בהתאם לנתוני היצרן, המכונה הנ״ל מסוגלת למתוח 1,000 מ׳ מעיים במהלך חייה. לאחר מכן, יש צורך</t>
  </si>
  <si>
    <t>מטראז׳ מעיים מתוחים</t>
  </si>
  <si>
    <t>תזכורת קטנה:</t>
  </si>
  <si>
    <t>החברה מפחיתה את הנכס לפי יח׳ התפוקה,</t>
  </si>
  <si>
    <t>ההגדרה אומרת:</t>
  </si>
  <si>
    <t>נחשב הפחתה ליח׳ (למטר מעיים מתוח)</t>
  </si>
  <si>
    <t>נכפול במעי המתוח לשנה</t>
  </si>
  <si>
    <t>שימו לב להערה של אינאס:</t>
  </si>
  <si>
    <t>כאשר ההפחתה היא לפי יח׳ תפוקה,</t>
  </si>
  <si>
    <t>לתאריך הרכישה אין משמעות אמיתית.</t>
  </si>
  <si>
    <t>כי מה שחשוב זה כמה מייצרים שזה נתון</t>
  </si>
  <si>
    <t>נפרד, ולא הזמן.</t>
  </si>
  <si>
    <t xml:space="preserve">זו למעשה המשמעות של הפחתה לפי </t>
  </si>
  <si>
    <t>תפוקה בשונה מהפחתה לפי זמן.</t>
  </si>
  <si>
    <t xml:space="preserve">נשים לב שבשונה מהמקרה הקודם יש כאן ״עניין״: </t>
  </si>
  <si>
    <t>למרות שהפריט צפוי לשרתנו במשך 1,000 יחידות תפוקה, לאחר שעבדנו איתו עוד שנה ועוד שנה,</t>
  </si>
  <si>
    <t>גילינו שהוא הצליח להפיק למעננו:</t>
  </si>
  <si>
    <t>סה״כ</t>
  </si>
  <si>
    <t>תפוקה בפועל</t>
  </si>
  <si>
    <t>&lt;</t>
  </si>
  <si>
    <t>הערכת קיבולת לנכס</t>
  </si>
  <si>
    <t xml:space="preserve">במצב כזה, עלינו לדאוג לכך שנקטין את הוצאות הפחת בשנה שבה חלה החריגה, על מנת לא להוביל </t>
  </si>
  <si>
    <t xml:space="preserve">לנכס שלילי. </t>
  </si>
  <si>
    <t xml:space="preserve">תכל׳ס: למרות שבשנה האחרונה הפחת אמור להתבסס על 400 יח׳, אנו נחשב אותו על 300 יח׳ בלבד. </t>
  </si>
  <si>
    <t>בסיס להפחתה</t>
  </si>
  <si>
    <t>סעיף 12 לתקן - עלויות עוקבות וההתייחסות אליהן כאל חלק מהרכוש הקבוע</t>
  </si>
  <si>
    <t>בגסות רבה - לאחר שהפריט זמין לשימוש, מפסיקים לזקוף לנכס עלויות.</t>
  </si>
  <si>
    <t>בשפה פשוטה - עלות הובלה, התקנה, בדיקת תקינות וכו׳ הן חלק מהעלות הפריט.</t>
  </si>
  <si>
    <t>אבל אחזקה, טיפולים שוטפים, חשמל, דלק וכיו״ב - אינן חלק מעלות נכס הרכוש הקבוע אלא מהוות הוצאה.</t>
  </si>
  <si>
    <t>נשאלת השאלה - מה לגבי עלויות משמעותיות?</t>
  </si>
  <si>
    <t xml:space="preserve">נניח שיש לנו מבנה משרדים מאד מוזנח עם תשתיות רקובות. </t>
  </si>
  <si>
    <t xml:space="preserve">ועוד נניח שהחברה החליטה לבצע פרויקט מטורף לשיפוץ המבנה בעלות של מיליונים רבים של שקלים. </t>
  </si>
  <si>
    <t>האם מדובר באמת בהוצאה?</t>
  </si>
  <si>
    <t>או אולי מדובר בעלות שהיא בגדר שיפור בנכס המבנה?</t>
  </si>
  <si>
    <t>לכן עלינו לדון במצבים שבהם אכן מתהוות עלויות שיוצרות שינוי מהותי באורך חיי הנכס או בפוטנציאל השימוש שלו.</t>
  </si>
  <si>
    <t>מתווה הטיפול הוא כדלקמן:</t>
  </si>
  <si>
    <t xml:space="preserve">א. נחשב את ערך הספרים של הפריט ערב השינוי (ערב ההשבחה / השיפור המשמעותי). </t>
  </si>
  <si>
    <t>ב. נוסיף לערך ספרים זה את עלות ההשבחה. כך נקבל ״בסיס פחת חדש״.</t>
  </si>
  <si>
    <t>מסי קניה בסך 20,000 ש״ח, מע״מ בסך 17,000 ש״ח ועלויות התקנה בסך 12,000 ש״ח. עלויות תפעול שוטפות</t>
  </si>
  <si>
    <t xml:space="preserve">והמנוע המרכזי, וזאת בעלות של 80,000 ש״ח. כפועל יוצא, צפויה לגדול קיבולת התפוקה של המכונה, אך לא </t>
  </si>
  <si>
    <t xml:space="preserve">יחול שינוי בתקופת השימוש הצפויה בה על ידי החברה. מכונות דומות יכולות לפעול בדרך כלל 10 שנים, אך </t>
  </si>
  <si>
    <t>החברה צופה להחזיק במכונה 5 שנים בלבד. המחיר הצפוי למכונות דומות בנות 5 שנים שלא עברו השבחה הוא</t>
  </si>
  <si>
    <t>בסך 20,000 ש״ח ואילו המחיר הצפוי למכונות דומות בנות 5 שנים שעברו השבחה הוא בסך 30,000 ש״ח.</t>
  </si>
  <si>
    <t>בתאריך 31.12.2021 נמכרה המכונה תמורת 28,000 ש״ח.</t>
  </si>
  <si>
    <t>החברה מיישמת לגבי פריטי רכוש קבוע המשתייכים לקבוצת המכונות וציוד הייצור את מודל העלות, ומיישמת</t>
  </si>
  <si>
    <t xml:space="preserve">פחת בשיטת הקו הישר. </t>
  </si>
  <si>
    <t xml:space="preserve">חברה רכשה מכונת חימום נקניק בתאריך 1.1.2017. עלות המכונה 150,000 ש״ח אך בנוסף לעלותה נאלצה החברה לשלם </t>
  </si>
  <si>
    <t xml:space="preserve">נדרש: הצגת מכלול הפריטים בגין הנכס בספרים כולל השפעה על הוצאות פחת ורווח / הפסד הון. </t>
  </si>
  <si>
    <t>נתחיל מחישוב העלות במועד הרכישה:</t>
  </si>
  <si>
    <t>עלות ראשונית נתונה:</t>
  </si>
  <si>
    <t>מסי קניה (חלק מהעלות):</t>
  </si>
  <si>
    <t>התקנה (כדי להשמיש):</t>
  </si>
  <si>
    <t>מע״מ: לא רלוונטי; כי מע״מ מקבלים</t>
  </si>
  <si>
    <t>חזרה כעסק במידה ורוכשים ציוד עסקי.</t>
  </si>
  <si>
    <t>בגסות: עלויות המתקבלות חזרה אינן</t>
  </si>
  <si>
    <t xml:space="preserve">חלק מעלות הפריט הנרכש. </t>
  </si>
  <si>
    <t>סך העלות</t>
  </si>
  <si>
    <r>
      <t xml:space="preserve">של מכונת הייצור הן 5,000 ש״ח לשנה. </t>
    </r>
    <r>
      <rPr>
        <sz val="12"/>
        <color rgb="FFFF0000"/>
        <rFont val="David"/>
        <family val="2"/>
        <charset val="177"/>
      </rPr>
      <t>בתאריך 1.1.2020 בוצעה השבחה במכונה, שבמסגרתה הוחלפו כל הצירים</t>
    </r>
  </si>
  <si>
    <t>ללא השבחה</t>
  </si>
  <si>
    <t>נתון עזר</t>
  </si>
  <si>
    <t>לאחר השבחה</t>
  </si>
  <si>
    <t>ג. בסיס הפחת החדש יופחת על פני הפרמטרים הרלוונטיים להפחתה (על בסיס יתרת אורך חיים עדכנית לאחר ההשבחה), כדי לחשב הוצאות פחת לאחר ההשבחה.</t>
  </si>
  <si>
    <t>לפני מכירה</t>
  </si>
  <si>
    <t xml:space="preserve">אחרי </t>
  </si>
  <si>
    <t>מכירה</t>
  </si>
  <si>
    <t>הפסד הון</t>
  </si>
  <si>
    <t>סיכום התהליך - שאלת רכוש קבוע עם השבחה:</t>
  </si>
  <si>
    <t>כאשר מזהים בשאלת רכוש קבוע עלות משמעותית שמשפרת את הפריט או תפקודו (הגדלת כושר ייצור במכונה,</t>
  </si>
  <si>
    <t>היקף נסיעה אפשרי במכונית, שיפוץ מאסיבי במבנה משרדים) ו/או מגדילה את אורך חייו, הטיפול יבוצע כדלקמן:</t>
  </si>
  <si>
    <t>לאחר ההשבחה</t>
  </si>
  <si>
    <t>ערב ההשבחה</t>
  </si>
  <si>
    <t>לפני ההשבחה</t>
  </si>
  <si>
    <t>רגע לפני</t>
  </si>
  <si>
    <t>זמן</t>
  </si>
  <si>
    <t>מחשבים הוצאות פחת לפי:</t>
  </si>
  <si>
    <t xml:space="preserve">מחשבים הוצאות פחת </t>
  </si>
  <si>
    <t>בסיס פחת חדש (עלות חדשה בניכוי שייר חדש)</t>
  </si>
  <si>
    <t>וערך ספרים כרגיל</t>
  </si>
  <si>
    <t xml:space="preserve">ופרמטרים עדכניים להפחתה - </t>
  </si>
  <si>
    <t>בהתעלם מההשבחה</t>
  </si>
  <si>
    <t>אורך חיים, שיטת פחת</t>
  </si>
  <si>
    <t>ערך ספרים ערב ההשבחה</t>
  </si>
  <si>
    <t>הוסף: עלות השבחה</t>
  </si>
  <si>
    <t>קבלי: עלות חדשה להפחתה</t>
  </si>
  <si>
    <t>בנוסף לבדוק:</t>
  </si>
  <si>
    <t>האם חל שינוי בשייר / יתרת אורך חיים / שיטת פחת</t>
  </si>
  <si>
    <t>מעדכן פרמטרים להפחתה בהמשך</t>
  </si>
  <si>
    <t>שאלה 1.1 - תרגול נוסף להשבחות</t>
  </si>
  <si>
    <t xml:space="preserve">חברת פקיקי בע״מ (להלן: ״החברה״) רכשה ב-1.1.2018 מכונה לחימום נקניק לעובדי המשרד. </t>
  </si>
  <si>
    <t>עלות המכונה הסתכמה ב-150,000 ש״ח, ואורך חייה השימושיים נאמד על ידי החברה ב-5 שנים.</t>
  </si>
  <si>
    <t xml:space="preserve">למכונה אין ערך שייר / גרט, והחברה מפחיתה מכונות כאלו בשיטת הקו הישר על פני אורך חייהן השימושיים. </t>
  </si>
  <si>
    <t>בתאריך 30.6.2020, ביצעה החברה החלפה של סלילי חימום הנקניק בעלות של 70,000 ש״ח.</t>
  </si>
  <si>
    <t>כפועל יוצא, אורך החיים של הפריט גדל ב-3.5 שנים, צפוי לו ערך שייר של פריט עם סלילי נקניק מחוזקים: 20,000 ש״ח,</t>
  </si>
  <si>
    <t>ב-30.9.2022 נמכרה המכונה למר נקניקון בתמורה ל-44,000 ש״ח.</t>
  </si>
  <si>
    <t xml:space="preserve">נדרש: חשבו והציגו את כל היתרות המאזניות והתוצאתיות בגין הפריט לשנות החזקתו. 2018-2022. </t>
  </si>
  <si>
    <t>ערב המכירה</t>
  </si>
  <si>
    <t>שאלה 1.2 - תרגול נוסף להשבחות - סכום ספרות השנים</t>
  </si>
  <si>
    <t xml:space="preserve">חברת פקיקי המסובכת בע״מ (להלן: ״החברה״) רכשה ב-1.1.2018 מכונה לחימום נקניק לעובדי המשרד. </t>
  </si>
  <si>
    <r>
      <t xml:space="preserve">למכונה אין ערך שייר / גרט, והחברה מפחיתה מכונות כאלו בשיטת </t>
    </r>
    <r>
      <rPr>
        <b/>
        <sz val="12"/>
        <color theme="1"/>
        <rFont val="David"/>
        <family val="2"/>
        <charset val="177"/>
      </rPr>
      <t>סכום ספרות השנים על פני אורך חייהן השימושיים</t>
    </r>
    <r>
      <rPr>
        <sz val="12"/>
        <color theme="1"/>
        <rFont val="David"/>
        <family val="2"/>
        <charset val="177"/>
      </rPr>
      <t xml:space="preserve">. </t>
    </r>
  </si>
  <si>
    <t xml:space="preserve">הדרכה בסיסית: כאשר חברה מפחיתה פריט בשיטת סכום ספרות השנים (סס״י), כאשר מבוצעת השבחה, </t>
  </si>
  <si>
    <t xml:space="preserve">פרט לחישוב עלות חדשה להפחתה - יש גם לחשב סכום ספרות חדש, ולהקצות ספרות מחדש. </t>
  </si>
  <si>
    <t>לפני השבחה</t>
  </si>
  <si>
    <t>אחרי השבחה</t>
  </si>
  <si>
    <t>לפני המכירה</t>
  </si>
  <si>
    <t>עלות מופחתת</t>
  </si>
  <si>
    <t>במועד ההשבחה 30/6/2020, יש לזהות:</t>
  </si>
  <si>
    <t>עלות חדשה להפחתה</t>
  </si>
  <si>
    <t>ערך שייר חדש</t>
  </si>
  <si>
    <t>בסיס פחת חדש</t>
  </si>
  <si>
    <t>יתרת חיים עדכנית בשנים:</t>
  </si>
  <si>
    <t>אורך חיים מקורי בשנים</t>
  </si>
  <si>
    <t>בניכוי שנים שחלפו:</t>
  </si>
  <si>
    <t>כל 2018, כל 2019, ומחצית משנת 2020</t>
  </si>
  <si>
    <t>גידול באורך החיים - השבחה</t>
  </si>
  <si>
    <t>נתון, שורה 121</t>
  </si>
  <si>
    <t>יתרת חיים עדכנית:</t>
  </si>
  <si>
    <t>שיטת הפחתה עדכנית:</t>
  </si>
  <si>
    <t>סס״י - סכום ספרות יורד</t>
  </si>
  <si>
    <t>הואיל וסס״י: נחשב סכום ספרות:</t>
  </si>
  <si>
    <t>n * (n + 1) / 2 = 6 * (6 + 1) / 2 = 21</t>
  </si>
  <si>
    <t>ספרה: 4</t>
  </si>
  <si>
    <t>ספרה: 5</t>
  </si>
  <si>
    <t>ספרה: 6</t>
  </si>
  <si>
    <t>95,000 * (6*6/12) / 21</t>
  </si>
  <si>
    <t>95,000 * (4*3/12) / 21</t>
  </si>
  <si>
    <t>95,000 * (5*6/12) / 21</t>
  </si>
  <si>
    <t>=</t>
  </si>
  <si>
    <t>מחצית שניה</t>
  </si>
  <si>
    <t>סך הוצ׳ פחת 2022</t>
  </si>
  <si>
    <t>סך הוצ׳ פחת 2021</t>
  </si>
  <si>
    <t>שאלה רצינית - של רואי חשבון סוסים!</t>
  </si>
  <si>
    <t>עלויות ראשוניות ונחיצותן - פריטים נלווים והשפעות רגולציה</t>
  </si>
  <si>
    <t>IAS 10 - 11 - Initial costs</t>
  </si>
  <si>
    <t>Items of property, plant and equipment may be acquired for safety or environmental reasons. The</t>
  </si>
  <si>
    <t xml:space="preserve">acquisition of such property, plant and equipment, although not directly increasing the future </t>
  </si>
  <si>
    <t xml:space="preserve">economic benefits of any particular existing iterm of property, plant and equipment, may be </t>
  </si>
  <si>
    <t>necessary for an entity to obtain the future economic benefits from its other assets.</t>
  </si>
  <si>
    <t>Such items of property, plant and equipment qualify for recognition as assets because they enable</t>
  </si>
  <si>
    <t>an entity to obtain the future benefits from its other assets. Such iterms of property…. Qualify for</t>
  </si>
  <si>
    <t xml:space="preserve">recognition as assets because they enable an entity to derive future economic benefits from related </t>
  </si>
  <si>
    <t>assets in excess of what could be derived had those items not been acquired.</t>
  </si>
  <si>
    <t>For example, a chemical manufacturer may install new chemical handling processes to comply</t>
  </si>
  <si>
    <t>with environmental requirements for the production and storage of dangerous chemicals;</t>
  </si>
  <si>
    <t>related plant enhancements are recognised as an asset because without them the entity is unable</t>
  </si>
  <si>
    <t xml:space="preserve">to manufacture and sell chemicals. However, the resulting carrying amount of such and asset </t>
  </si>
  <si>
    <t>and related assets is reviewed for impairment in accordance with IAS 36 impairment of assets.</t>
  </si>
  <si>
    <t>עיקרי המשמעות</t>
  </si>
  <si>
    <t xml:space="preserve">הרעיון הבסיסי בפסקה זו פשוט למדי: כשאנו דנים בעלויות הכרחיות שנזקפות כנכס רכוש קבוע, אנו מתייחסים </t>
  </si>
  <si>
    <t>לא רק לעלויות נדרשות בפן התפעולי (כדי שפיזית, הפריט יוכל לייצר) אלא גם לעלויות הנובעות מדרישות חוק ותקנות-</t>
  </si>
  <si>
    <t>כדוגמת מפעל הכימיקלים שצריך להוסיף רכיב לפס הייצור שנדרש לפי הנחיות החוק לאחסון בטיחותי של החומרים.</t>
  </si>
  <si>
    <t>שאלה 2</t>
  </si>
  <si>
    <t>חברה רכשה מכונה לייצור כימיקלים בתאריך 1.1.2020. עלות המכונה 100,000 ש״ח, אורך החיים השימושיים</t>
  </si>
  <si>
    <t xml:space="preserve">שלה הנו 5 שנים והיא מופחתת בשיטת הקו הישר, כאשר ערך השייר המוערך שלה הוא אפס. החברה מיישמת </t>
  </si>
  <si>
    <t>לגבי מכונות הייצור שברשותה את בסיס המדידה ״עלות״ לפי הנחיות IAS 16. המכונה לייצור הכימיקלים</t>
  </si>
  <si>
    <t>עובדת בצורה מושלמת ומייצרת מוצרים נאותים בצורה טובה במצב הנוכחי, אך חקיקה שהועברה על ידי המשרד</t>
  </si>
  <si>
    <t>לאיכות הסביבה מחייבת את החברה להתקין מסנן חלקיקים במכונה למזעור זיהום האוויר בתהליך הייצור.</t>
  </si>
  <si>
    <t xml:space="preserve">מסנן החלקיקים הותקן רק ב-1.7.2020. הייצור החל מיד ב-1.1.2020. </t>
  </si>
  <si>
    <t>נדרש: האם יש להכיר בעלות מסנן החלקיקים כתוספת לעלות פריט הרכוש הקבוע? מדוע?</t>
  </si>
  <si>
    <t>אכן, לפי הנחיות IAS 16, התקנת רכיבים בעלי עלות משמעותית, הנדרשים מכוח החוק, ולפיכך, מהווים</t>
  </si>
  <si>
    <t>רכיב מחייב מנקודת ראות החברה להמשך ייצור בצורה ״חוקית״, נזקפים לעלות הפריט ולא להוצאות,</t>
  </si>
  <si>
    <t>הואיל ורכיבים כאלו מאפשרים המשך הנבת הטבות לאורך זמן, ללא חשיפה לעונשים כבדים.</t>
  </si>
  <si>
    <t>עלויות עוקבות</t>
  </si>
  <si>
    <t>IAS 16 - 12 - Subsequent Costs</t>
  </si>
  <si>
    <t>Under the recognition principle (p. 7), an entity does not recognise in the carrying amount of an item</t>
  </si>
  <si>
    <t>of property… the costs of the day to day servicing of the item. Rather, these costs are recognised</t>
  </si>
  <si>
    <t xml:space="preserve">in profit or loss as incurred. Costs of day to day servicing are primarily the costs of labour and </t>
  </si>
  <si>
    <t>consumables, and may include the costs of small parts. The purpose of these expenditures is</t>
  </si>
  <si>
    <t>often described as for the 'repairs and mainteance' of the item of property…</t>
  </si>
  <si>
    <t>בעלות פריט רכוש קבוע לא נכלול עלויות שהתהוו לאחר המועד שבו הנכס זמין לשימוש, אם מדובר בעלויות הקשורות</t>
  </si>
  <si>
    <t>לאחזקה / שימוש שוטף / שמירה על הקיים. לעומת זאת, כן ניתן (כפי שראינו) לכלול בעלות פריט הרכוש הקבוע</t>
  </si>
  <si>
    <t>תוספות שמגדילות את ההטבות מהפריט לאורך זמן (כגון השבחה, תוספת רכיבים שמשפרים ייצור וכיוצא בזה).</t>
  </si>
  <si>
    <t>שאלה 3</t>
  </si>
  <si>
    <t>מהו ההיגיון הבסיסי בכך שלפי IAS 16, לא זוקפים עלויות אחזקה וטיפול שוטף בפריטי רכוש קבוע כחלק מהעלות?</t>
  </si>
  <si>
    <t>האם לא ניתן לטעון שאם אנו רוכשים מכונית, למשל, העלות שלה מן הסתם כוללת גם את עלות השימוש השנתית</t>
  </si>
  <si>
    <t xml:space="preserve">בה? הסבירו והגדירו על בסיס המונחים החשבונאיים המתאימים שבבסיס מטרות הדיווח. </t>
  </si>
  <si>
    <t>התשובה:</t>
  </si>
  <si>
    <t>הבסיס העיקרי והמרכזי לדיון בנכסים וההכרה בהם, גלום בהבנה שמדובר בפריטים שבעקבותיהם צפויה לזרום</t>
  </si>
  <si>
    <t xml:space="preserve">בעתיד הטבה כלכלית לישות. </t>
  </si>
  <si>
    <t>כאשר חברה משלמת למשל על דלק למכונית או על אחזקה, כי המכונית נסעה כבר 20,000 קילומטרים והגיע</t>
  </si>
  <si>
    <t>הזמן לטיפול. ההתייחסות במצב כזה לעלויות היא כאל ערכים שכבר ״נצרכו״ וההטבה בגינם כבר נתגבשה.</t>
  </si>
  <si>
    <t>לעומת זאת, אירוע של השבחה, של החלפת רכיב משמעותי בפריט, או שינוי אחר מהותי לטובה בו - מייצר אופק</t>
  </si>
  <si>
    <t xml:space="preserve">עתידי של הטבות כלכליות נוספות, מה שמקנה, ברמה הבסיסית ביותר, עמידה בהגדרת נכס. </t>
  </si>
  <si>
    <t>ובקצרה: עלות רכוש קבוע היא נכס, מתוקף ההבנה שתיווצר ממנו הטבה כלכלית לאורך זמן.</t>
  </si>
  <si>
    <t>אחזקה, דלק, חשמל וכיו״ב - אינן עלויות שמשנות את תקופת ההטבה / השימושים, ולכן אינן חלק מהעלות.</t>
  </si>
  <si>
    <t>IAS 16 - 13 - Subsequent Costs</t>
  </si>
  <si>
    <t>Parts of some items of property, plant and equipment may require replacement at regular intervals.</t>
  </si>
  <si>
    <t>For example, a furnace may require rlining after a specific number of hours of use, or aircraft</t>
  </si>
  <si>
    <t>interiors such as seats and galleys may require replacement several times during the life of the</t>
  </si>
  <si>
    <t>airframe. Items of property… may also be acquired to make a less frequently recurring replacement,</t>
  </si>
  <si>
    <t>such as replacing the interior walls of a building, or to me a nonrecurring replacement.</t>
  </si>
  <si>
    <t>Under the recognition principles (p.7), an entity recognises in the carrying amount of an item of</t>
  </si>
  <si>
    <t xml:space="preserve">property, plant and equipent, the cost of replacing part of such an item when that cost is incurred if </t>
  </si>
  <si>
    <t>the recognition criteria are met. The carring amount of those parts that are replaced is derecognised</t>
  </si>
  <si>
    <t xml:space="preserve">in accordance with the derecognition of provisions of this standard. </t>
  </si>
  <si>
    <t>נניח שאורך חיים של מטוס הוא 20 שנים. ועוד נניח, שאת חלקי הפנים של המטוס (כסאות וכיו״ב) מצופה להחליף</t>
  </si>
  <si>
    <t>בחלוף 10 שנים. כאשר מגיע מועד ההחלפה של החלקים הפנימיים במטוס, עלינו:</t>
  </si>
  <si>
    <t xml:space="preserve">א. ״לגרוע״ (disposal) כלומר לאפס את ערך הספרים (העלות המופחתת) של הרכיב הספציפי המוחלף. </t>
  </si>
  <si>
    <t xml:space="preserve">ב. ערך הספרים של הפריט המוחלף נזקף כהוצאה. </t>
  </si>
  <si>
    <t>ג. יש להכיר בעלות ההחלפה (הכסאות החדשים, חלקי הפנים החדשים והתקנתם) כתוספת לעלות הנכס.</t>
  </si>
  <si>
    <t>שאלה 4</t>
  </si>
  <si>
    <t>כיצד הטיפול בהחלפת רכיבים עיקריים של פריט רכוש קבוע עקביים עם מטרות המדידה וההצגה של רכוש קבוע?</t>
  </si>
  <si>
    <t>הסבירו בקצרה.</t>
  </si>
  <si>
    <t>נניח שברשותי מכונית שעלתה 100,000 ש״ח ומתוך עלות כוללת זו, כ-20,000 זה השווי של המנוע.</t>
  </si>
  <si>
    <t xml:space="preserve">ונניח שהמכונית מופחתת על פני 10 שנים ללא שייר / גרט. </t>
  </si>
  <si>
    <t>נניח שאחרי 7 שנים צריך להחליף את המנוע בעלות של 18,000 ש״ח:</t>
  </si>
  <si>
    <t>מנוע:</t>
  </si>
  <si>
    <t>פחת נצבר ערב ההחלפה</t>
  </si>
  <si>
    <t xml:space="preserve">20,000 / 10 * 7 = </t>
  </si>
  <si>
    <t>ערך ספרים של המוחלף</t>
  </si>
  <si>
    <t xml:space="preserve">גריעת ערך הספרים </t>
  </si>
  <si>
    <t>ז׳ מכונית (רכיב מנוע - עלות)</t>
  </si>
  <si>
    <t>של המוחלף (א)</t>
  </si>
  <si>
    <t>ח׳ פחת נצבר מכונית (רכיב מנוע)</t>
  </si>
  <si>
    <t>זקיפת ע. ספרים כהוצאה (ב)</t>
  </si>
  <si>
    <t>ח׳ הוצאה (הפסד מהחלפת מנוע)</t>
  </si>
  <si>
    <t>ג. יש להכיר בעלות ההחלפה (הרכיב המחליף) כתוספת לעלות הנכס.</t>
  </si>
  <si>
    <t>ח׳ מכונית - עלות (מנוע חדש)</t>
  </si>
  <si>
    <t>ז׳ מזומן</t>
  </si>
  <si>
    <t>מדידה במועד ההכרה</t>
  </si>
  <si>
    <t>Measurement at recognition - IAS 16, p.15-17</t>
  </si>
  <si>
    <t>An item of property, plant and equipment that qualifies for recognition as an asset shall be measured</t>
  </si>
  <si>
    <t>at its cost.</t>
  </si>
  <si>
    <t>The cost of an item of property, plant and equipment comprises:</t>
  </si>
  <si>
    <t>(a) its purchase price, including import duties and non-refundable purchase taxes, after deducting</t>
  </si>
  <si>
    <t>trade discounts and rebates.</t>
  </si>
  <si>
    <t>(b) any costs directly attributable to bringing the asset to the location and condition necessary for</t>
  </si>
  <si>
    <t>it to be capable of operating in the manner intended by management.</t>
  </si>
  <si>
    <t>(c) the initial estimate of the costs of dismantling and removing the item and restoring the site</t>
  </si>
  <si>
    <t>on which it is located, the obligation for which and entity incurs either when the item is acquired or</t>
  </si>
  <si>
    <t xml:space="preserve">as a consequence of having used the item during a particular period for purposes other than to </t>
  </si>
  <si>
    <t>produce inventories during that period.</t>
  </si>
  <si>
    <t>Examples:</t>
  </si>
  <si>
    <t xml:space="preserve">(a) costs of employee benefits (as defined in IAS 19) arising directly from the construction or </t>
  </si>
  <si>
    <t>acquisition of the item of property, plant and equipment;</t>
  </si>
  <si>
    <t>(b) costs of site preperation.</t>
  </si>
  <si>
    <t>(c) initial delivery and handling costs.</t>
  </si>
  <si>
    <t>(d) installation and assembly costs.</t>
  </si>
  <si>
    <t>(e) costs of testing whether the asset is functioning properly.</t>
  </si>
  <si>
    <t xml:space="preserve">(f) proffessional fees. </t>
  </si>
  <si>
    <t>העלות של פריט רכוש קבוע כוללת את עלות רכישתו, כולל מסי יבוא ומסים אחרים שאינם ניתנים לסילוק או לקבלת החזר</t>
  </si>
  <si>
    <t>בגינם, לאחר ניכוי וקיזוז של הנחות וזיכויים (בהקשר למסים שמקבלים חזרה, ראו להלן התייחסות לסוגיית המע״מ).</t>
  </si>
  <si>
    <t>בנוסף, העלות כוללת גם את כל העלויות הנוספות הנדרשות להבאת הפריט למיקום ולמצב שמיש כפי כוונת ההנהלה.</t>
  </si>
  <si>
    <t>העלויות הנובעות מהצורך לפרק ולפנות פריט רכוש קבוע ולשחזר את האתר שבו הוא ממוקם, יהוו חלק מעלות הפריט,</t>
  </si>
  <si>
    <t>אלא אם מדובר בעלויות המשוייכות במישרין לייצור המלאי על ידי הפריט במהלך התקופה.</t>
  </si>
  <si>
    <t>שאלה 5</t>
  </si>
  <si>
    <t>ֿ</t>
  </si>
  <si>
    <t xml:space="preserve">האם מע״מ הוא חלק מעלות פריט רכוש קבוע? הסבירו. </t>
  </si>
  <si>
    <t xml:space="preserve">שלילית. חברות זכאיות לקבל חזרה את המע״מ אותו הן משלמות לצרכים עסקיים מרשות המסים (ממע״מ). יש לכך </t>
  </si>
  <si>
    <t>חריגים, אך ככלל, בהיעדר התייחסות מפורשת אחרת, מע״מ איננו חלק מהעלות.</t>
  </si>
  <si>
    <t>הרצאה מס׳ 3 - המשך רכוש קבוע - מתקרבים להשלמת מודל ה״עלות״ - בהדגש רכיבים, החלפות והשבחות</t>
  </si>
  <si>
    <t>בעברית: במקרים רבים אנו מתייחסים לרכוש קבוע כאל פריט בודד שתכל׳ס - מופחת כולו לפי השיטה המתאימה</t>
  </si>
  <si>
    <t>מספר השנים.</t>
  </si>
  <si>
    <t>אבל לעתים פריט רכוש קבוע מורכב מחלקים / רכיבים שיש להם אורך חיים שימושיים שונה מזה של הפריט כולו.</t>
  </si>
  <si>
    <t>התקן מעניק כדוגמא מטוס שהשלד שלו מחזיק מעמד שנים ארוכות, אבל את החלקים הפנימיים כגון כסאות</t>
  </si>
  <si>
    <t>יש להחליף בתדירות גבוהה יותר.</t>
  </si>
  <si>
    <t>תרגיל מס׳ 1</t>
  </si>
  <si>
    <t>קנלו בע״מ רכשה מכונה ענקית לחימום נקניק לעובדי המשרד.</t>
  </si>
  <si>
    <t>עלות המכונה הכוללת היא 2,000,000 ש״ח.</t>
  </si>
  <si>
    <t xml:space="preserve">החברה ביצעה הערכה לגבי רכיבי המכונה לצורך הפחתתה בגישת הרכיבים על פי הנחיות IAS 16. </t>
  </si>
  <si>
    <t>להלן ממצאי ההערכה:</t>
  </si>
  <si>
    <t>רכיב</t>
  </si>
  <si>
    <t>מנוע</t>
  </si>
  <si>
    <t>תמסורת</t>
  </si>
  <si>
    <t>גלילי חימום נקניק</t>
  </si>
  <si>
    <t xml:space="preserve">ש״ח </t>
  </si>
  <si>
    <t>אורך החיים השימושיים בשנים</t>
  </si>
  <si>
    <t xml:space="preserve">המכונה נרכשה והפכה לזמינה לשימוש ב-1.1.2020. </t>
  </si>
  <si>
    <t xml:space="preserve">נדרש: חשבו והציגו את הוצאות הפחת והעלות המופחתת לתום כל אחת מהשנים 2020, 2021. </t>
  </si>
  <si>
    <t>קו ישר</t>
  </si>
  <si>
    <t>פתרון:</t>
  </si>
  <si>
    <t>באופן כללי, כשפריטי רכוש קבוע כוללים מספר חלקים, יש מצב שנצטרך להחליף חלקים אלו לפני</t>
  </si>
  <si>
    <t xml:space="preserve">תום החיים השימושיים של הרכוש הקבוע כולו. </t>
  </si>
  <si>
    <t xml:space="preserve">ההחלפה תתווסף לעלות הפריט; אבל במקביל צריך לגרוע את הערך בספרים של החלק שהוחלף. </t>
  </si>
  <si>
    <t xml:space="preserve">לגרוע = לאפס / לבטל את הערך בספרים (נטו) של מה שהוחלף. </t>
  </si>
  <si>
    <t>אם אין לנו מושג מהו ערך הספרים של החלק שהוחלף, אפשר להתבסס על עלות הפריט המחליף.</t>
  </si>
  <si>
    <t>שאלה 2 - רכוש קבוע הכולל מספר חלקים, התייחסות להחלפות גריעות ושינויים</t>
  </si>
  <si>
    <t>עיליי בע״מ קנתה מכונה לחימום נקניק. עלות המכונה 500,000 ש״ח, תאריך רכישתה 1.1.2020 ואורך חייה</t>
  </si>
  <si>
    <t xml:space="preserve">השימושיים 5 שנים. המכונה מופחתת בשיטת הקו הישר. </t>
  </si>
  <si>
    <t xml:space="preserve">המכונה כוללת מנוע וסלילי חימום נקניק. </t>
  </si>
  <si>
    <t xml:space="preserve">במועד הרכישה, החברה לא ביצעה הפרדה בין הרכיבים מבחינת אופן הפחתתם. </t>
  </si>
  <si>
    <t>החלפת המנוע לא שינתה את אורך החיים הכולל של המכונה.</t>
  </si>
  <si>
    <t>נדרש: הציגו את ערך הספרים ואת הוצאות הפחת בגין השנים 2020-2024, בכפוף להנחיות IAS 16 בדבר העיסוק</t>
  </si>
  <si>
    <t xml:space="preserve">בהחלפות של רכיבי פריטי רכוש קבוע. </t>
  </si>
  <si>
    <t xml:space="preserve">בחלוף 3 שנים ממועד הרכישה - 1.1.2023, הוחלף המנוע, כאשר עלות המנוע החדש הסתכמה ב-150,000 ש״ח. </t>
  </si>
  <si>
    <t>כדי להעניק ביטוי להחלפת המנוע, עלינו:</t>
  </si>
  <si>
    <t xml:space="preserve">א. לגרוע (להוציא, להעיף, לאפס) - את הערך של המנוע הישן. </t>
  </si>
  <si>
    <t xml:space="preserve">ב. להכיר (להוסיף, להכניס) - את העלות של המנוע החדש. </t>
  </si>
  <si>
    <t>לגבי הערך של המנוע הישן - יש שתי אפשרויות:</t>
  </si>
  <si>
    <t>האפשרות הקלה - שלא כלולה בתרגיל הזה - היא: אם אמרו לי במועד הרכישה איזה חלק מהווה</t>
  </si>
  <si>
    <t>המנוע - אני בודק עליו ספציפית את ההפחתה ואת ערך הספרים.</t>
  </si>
  <si>
    <t>האפשרות המורכבת יותר - אם אין מידע ישיר לגבי החלק שמוחלף, נתבסס על הנחה לפיה העלות</t>
  </si>
  <si>
    <t>של המוחלף זהה לעלות של המחליף, ונפחית אותה בהתאם עד ערב ההחלפה.</t>
  </si>
  <si>
    <t>מנוע חדש - אומדן לעלות המנוע הישן</t>
  </si>
  <si>
    <t>פחת נצבר עד ערב ההחלפה</t>
  </si>
  <si>
    <t xml:space="preserve">150,000 / 5 * 3 = </t>
  </si>
  <si>
    <t>ערך ספרים רכיב מוחלף - אומדן</t>
  </si>
  <si>
    <t>לאחר גריעת</t>
  </si>
  <si>
    <t>הפסד בגין החלפת רכיב</t>
  </si>
  <si>
    <t>לאחר תוספת</t>
  </si>
  <si>
    <t>רכיב חדש</t>
  </si>
  <si>
    <t>שאלה 3 - לכיתה - רכוש קבוע הכולל מספר חלקים, התייחסות להחלפות גריעות ושינויים</t>
  </si>
  <si>
    <t xml:space="preserve">קלארקי בע״מ רכשה מחשב מדגם לנובו Pro Naknik Turbo בעלות של 8,000 ש״ח. </t>
  </si>
  <si>
    <t>מועד הרכישה הוא 1.1.2020, אך התמורה תשולם בפועל רק ב-1.1.2021, וזאת לאור הסדר מימון מיוחד שנערך</t>
  </si>
  <si>
    <t>מול הספק.</t>
  </si>
  <si>
    <t xml:space="preserve">בדרך כלל, מקובל בשוק לרכוש מחשבים כאלו במזומן, ומחיר של מחשב זה במזומן הוא 7,200 ש״ח. </t>
  </si>
  <si>
    <t>בהתאם להערכות החברה, המחשב כולל 2 רכיבים בלבד: דיסק קשיח וכל יתר המחשב. החברה מתייחסת לשני</t>
  </si>
  <si>
    <t xml:space="preserve">רכיבים אלו יחד לאור העובדה שהיא מאריכה שאורך החיים השימושיים שלהם זהה ועומד על 3 שנים. </t>
  </si>
  <si>
    <t xml:space="preserve">ב-1.7.2021 הוחלף הדיסק הקשיח בשל כשל מערכתי (קלארקי שפכה שקשוקה על המחשב). </t>
  </si>
  <si>
    <t xml:space="preserve">עלות הדיסק הקשיח המחליף היא 1,000 ש״ח. </t>
  </si>
  <si>
    <t xml:space="preserve">נדרש: חשבו והציגו את מכלול ההשפעות המאזניות והתוצאתיות של המחשב לשנים 2020, 2021 ו-2022.  </t>
  </si>
  <si>
    <t>התחייבות</t>
  </si>
  <si>
    <t>הוצאות מימון</t>
  </si>
  <si>
    <t>לפני החלפה</t>
  </si>
  <si>
    <t>אחרי החלפה</t>
  </si>
  <si>
    <t>הפסד מהחלפה</t>
  </si>
  <si>
    <t>כדי לחשב את ההפסד מההחלפה עלינו להגיע לעלות המופחתת (ערך הספרים) של הרכיב המוחלף.</t>
  </si>
  <si>
    <t>הואיל וערך זה לא ידוע (כי במועד הרכישה החברה לא ייחסה עלויות לרכיב), נתבסס לשם אומדן</t>
  </si>
  <si>
    <t>ערך הספרים של הפריט המוחלף על עלות הפריט המחליף (החדש) בשיקלול הפחת שחלף מאז הרכישה:</t>
  </si>
  <si>
    <t>עלות הרכיב החדש = אומדן לעלות ההיסטורית של הרכיב שהוחלף</t>
  </si>
  <si>
    <t>בניכוי פחת נצבר נאמד של הרכיב שהוחלף</t>
  </si>
  <si>
    <t xml:space="preserve">1,000 / 3 * (1 + 6/12) = </t>
  </si>
  <si>
    <t>ערך הספרים של הפריט המוחלף = הפסד בגין ההחלפה</t>
  </si>
  <si>
    <t xml:space="preserve">1,000 - 500 = </t>
  </si>
  <si>
    <t xml:space="preserve">פירוט נוסף - תנועות בחשבון הפחת הנצבר, על מנת להבהיר בצורה טובה יותר כיצד ביטאנו פחת </t>
  </si>
  <si>
    <t>נצבר ליום 31/12/2021:</t>
  </si>
  <si>
    <t>יתרת פתיחה</t>
  </si>
  <si>
    <t>יתרת סגירה</t>
  </si>
  <si>
    <t>הוצאות פחת טרם החלפה</t>
  </si>
  <si>
    <t>הוצאות פחת לאחר ההחלפה</t>
  </si>
  <si>
    <t>איפוס פחת נצבר פריט שהוחלף</t>
  </si>
  <si>
    <t xml:space="preserve">הוצאות פחת </t>
  </si>
  <si>
    <t xml:space="preserve">7,200 / 3 = </t>
  </si>
  <si>
    <t xml:space="preserve">7,200 / 3 * 6/12 = </t>
  </si>
  <si>
    <t xml:space="preserve">4,100/1.5 * (6/12) = </t>
  </si>
  <si>
    <t xml:space="preserve">4,100/1.5 = </t>
  </si>
  <si>
    <t>האם לעסקת ההחלפה יש ״מהות מסחרית״? - Commercial Substance</t>
  </si>
  <si>
    <t>כלומר, האם כתוצאה מהעסקה צפוי שינוי במאפיינים התזרימיים (תזרימי מזומנים)</t>
  </si>
  <si>
    <t>הצפויים מהנכס: שינוי סכומי מזומן, שינוי עיתוי (תזמון), שינוי בסיכון.</t>
  </si>
  <si>
    <t>אם</t>
  </si>
  <si>
    <t>לא</t>
  </si>
  <si>
    <t>כן</t>
  </si>
  <si>
    <t xml:space="preserve">קרי: </t>
  </si>
  <si>
    <t>אין מהות</t>
  </si>
  <si>
    <t>יש מהות</t>
  </si>
  <si>
    <t>מסחרית</t>
  </si>
  <si>
    <t xml:space="preserve">הנכס </t>
  </si>
  <si>
    <t>השווי</t>
  </si>
  <si>
    <t>שהתקבל</t>
  </si>
  <si>
    <t>לא יוכר</t>
  </si>
  <si>
    <t>של הנכס</t>
  </si>
  <si>
    <t>יוכר בערך</t>
  </si>
  <si>
    <t>רווח / הפסד</t>
  </si>
  <si>
    <t>או הנכסים</t>
  </si>
  <si>
    <t>אם השווי ההוגן של הנכס</t>
  </si>
  <si>
    <t>זהה לערך</t>
  </si>
  <si>
    <t xml:space="preserve">הון כי </t>
  </si>
  <si>
    <t>שנמסרו</t>
  </si>
  <si>
    <t>שהתקבל הוא מהימן יותר</t>
  </si>
  <si>
    <t>הספרים</t>
  </si>
  <si>
    <t>לא קרה</t>
  </si>
  <si>
    <t>יקבע את עלות</t>
  </si>
  <si>
    <t xml:space="preserve">נמדוד את עלות הנכס </t>
  </si>
  <si>
    <t>שינוי כלכלי</t>
  </si>
  <si>
    <t>הנכס</t>
  </si>
  <si>
    <t>שהתקבל לפי השווי שלו</t>
  </si>
  <si>
    <t>שנמסר</t>
  </si>
  <si>
    <t>כיצד נמדוד פריט רכוש קבוע ש״נרכש״ (התקבל) בעסקת החלפה? (טרייד אין)</t>
  </si>
  <si>
    <t>שאלה 4 - לכיתה - עסקת החלפה מורכבת</t>
  </si>
  <si>
    <t xml:space="preserve">חברת ״היכן התפוז״ בע״מ היא חברה מסחרית העוסקת בחימום נקניק. </t>
  </si>
  <si>
    <t>החברה מחזיקה במכונה לחימום נקניק שערכה בספרים 100,000 ש״ח.</t>
  </si>
  <si>
    <t xml:space="preserve">מסרה את המכונה הישנה והוסיפה 78,000 ש״ח במזומן. </t>
  </si>
  <si>
    <t>לפי פייסבוק מרקטפלייס, קיימת שונות רבה במחירי המכירה של מכונות משומשות לחימום נקניק, ובכפוף לכך,</t>
  </si>
  <si>
    <t>ממוצע השווי של המכונה הוא 90,000 ש״ח.</t>
  </si>
  <si>
    <t>המכונה החדשה שקנלו אוהב עולה במזומן 211,000 ש״ח.</t>
  </si>
  <si>
    <t>א. האם העסקה עומדת בהגדרות התקן לגבי ״עסקת החלפה בעלת מהות מסחרית״?</t>
  </si>
  <si>
    <t xml:space="preserve">לאחרונה, הוחלפה המכונה בעסקת טרייד אין במכונה ענקית יותר, מתקדמת יותר, כמו שקנלו אוהב, ולשם כך </t>
  </si>
  <si>
    <t>התשובה חיובית. מדובר במכונות שונות, בעלות כושר תפקוד שונה, סביר להניח שהיקף תפוקה שונה ולכן המזומנים</t>
  </si>
  <si>
    <t>שצפויים להיות מונבים מהמכונה החדשה הם בעלי מאפיינים שונים. בנוסף לכך, עצם העובדה שקנלו הוסיף מזומן</t>
  </si>
  <si>
    <t xml:space="preserve">כדי לקבל את המכונה החדשה - משמעה שינוי משמעותי במזומנים. </t>
  </si>
  <si>
    <t>ב. מהו הסכום שבו נמדוד את עלות המכונה החדשה?</t>
  </si>
  <si>
    <r>
      <t>התקן קובע כי בעסקת החלפה בעלת מהות מסחרית, נמדוד את עלות הפריט המתקבל בהתאם ל</t>
    </r>
    <r>
      <rPr>
        <b/>
        <sz val="12"/>
        <color theme="1"/>
        <rFont val="David"/>
        <family val="2"/>
        <charset val="177"/>
      </rPr>
      <t>שווי</t>
    </r>
    <r>
      <rPr>
        <sz val="12"/>
        <color theme="1"/>
        <rFont val="David"/>
        <family val="2"/>
        <charset val="177"/>
      </rPr>
      <t xml:space="preserve"> של הפריטים</t>
    </r>
  </si>
  <si>
    <t xml:space="preserve">שנמסרו, אלא אם שווי הפריט שהתקבל הוא מהימן יותר (ואז נלך לפיו). </t>
  </si>
  <si>
    <t>שווי הפריטים שנמסרו:</t>
  </si>
  <si>
    <t>מזומן</t>
  </si>
  <si>
    <t>מכונה ישנה - שווי</t>
  </si>
  <si>
    <t>שווי הפריט שהתקבל (החדש)</t>
  </si>
  <si>
    <t>מי מהערכים מהימן יותר? 168,000 או 211,000?</t>
  </si>
  <si>
    <t>התשובה: הואיל והערך של 168,000 כולל רכיב שווי מכונה ישנה</t>
  </si>
  <si>
    <t>שבנתוני השאלה נאמר ש״כפוף לתנודתיות רבה״ (יכול להשתנות, לא מהימן)</t>
  </si>
  <si>
    <t>הרי ששווי הפריט שמתקבל שעלותו במזומן ידועה עובדתית - מהימן יותר.</t>
  </si>
  <si>
    <t>ולכן, נכיר בפריט החדש בהתאם לשווי הפריט שהתקבל:</t>
  </si>
  <si>
    <t>ג. מהו הרווח / ההפסד מההחלפה?</t>
  </si>
  <si>
    <t xml:space="preserve">עסקת ההחלפה בעצם דומה מאד לעסקת מכירה; אני ״מוותר״ על משהו (פריט ישן ומזומן) ומקבל משהו (פריט חדש). </t>
  </si>
  <si>
    <t>מסרנו מזומן</t>
  </si>
  <si>
    <r>
      <t xml:space="preserve">בראייה </t>
    </r>
    <r>
      <rPr>
        <b/>
        <sz val="12"/>
        <color theme="1"/>
        <rFont val="David"/>
        <family val="2"/>
        <charset val="177"/>
      </rPr>
      <t>חשבונאית - ערכי הספרים של הנכסים שמסרנו</t>
    </r>
    <r>
      <rPr>
        <sz val="12"/>
        <color theme="1"/>
        <rFont val="David"/>
        <family val="2"/>
        <charset val="177"/>
      </rPr>
      <t>:</t>
    </r>
  </si>
  <si>
    <t>מסרנו מכונה - לפי ערך ספרים</t>
  </si>
  <si>
    <t>בסך הכל, הורדנו מהספרים (גריעה)</t>
  </si>
  <si>
    <t>התמורה שקיבלנו היא לפי ההכרה בנכס החדש:</t>
  </si>
  <si>
    <t>בניכוי ערך חשבונאי פריטים שנמסרו:</t>
  </si>
  <si>
    <t>רווח מעסקת ההחלפה</t>
  </si>
  <si>
    <t>חדש!!! הערכה מחדש!!!</t>
  </si>
  <si>
    <t>שימו לב: עד עכשיו, כל הדיון ברכוש קבוע התבסס על עלות בניכוי ערכים.</t>
  </si>
  <si>
    <t>בניכוי פחת נצבר - הכי נפוץ, ובניכוי הפרשה לירידת ערך - פחות נפוץ,</t>
  </si>
  <si>
    <t>אך קיים...</t>
  </si>
  <si>
    <t>מה לגבי מצב שבו חברה מעוניינת להתייחס במסגרת הדיווחים גם לעליית</t>
  </si>
  <si>
    <t xml:space="preserve">ערך של פריטים? חברה שקנתה מבנים למשל, שערכם רק עולה.. והיא </t>
  </si>
  <si>
    <t>מעוניינת לבטא זאת? האם יש לה דרך לעשות את זה?</t>
  </si>
  <si>
    <t xml:space="preserve">התשובה: כן. מדובר במודל הערכה מחדש - Revaluation Model. </t>
  </si>
  <si>
    <t>מדוע המודל הזה לא נפוץ במיוחד?</t>
  </si>
  <si>
    <t>הואיל וחברה לא מתכננת למכור פריטי רכוש קבוע, תכל׳ס - אם שווי</t>
  </si>
  <si>
    <t>הפריט עולה, במקרים רבים - אין לכך השפעה כלכלית ממשית על החברה.</t>
  </si>
  <si>
    <t xml:space="preserve">לאור זאת, וזה נכון במיוחד בהשפעה חיובית של הערכה מחדש שבה נתמקד היום, </t>
  </si>
  <si>
    <t>עליות ערך בסיסיות שנובעות מהערכה מחדש - אינן מהוות רווח אלא נקראות</t>
  </si>
  <si>
    <t xml:space="preserve">רווח כולל אחר. </t>
  </si>
  <si>
    <t xml:space="preserve">בחברת ״פילוס וסיתוונית״ רכשו ב-1.1.2020 מכונה ענקית לחימום נקניק, בעיצוב של ז׳רז׳ון פוניני. </t>
  </si>
  <si>
    <t>עלות המכונה 500,000 ש״ח, אורך חייה השימושיים 10 שנים, ושיטת הפחת אותה מיישמת החברה היא הקו הישר.</t>
  </si>
  <si>
    <t>בנוסף, החברה מאמצת את מודל ההערכה מחדש למדידת פריטי הרכוש הקבוע שבבעלותה, כאשר תדירות השערוך</t>
  </si>
  <si>
    <t xml:space="preserve">היא אחת לשנה וקרן ההערכה מחדש מועברת לעודפים במועד המימוש בלבד. </t>
  </si>
  <si>
    <t>להלן נתונים לגבי השווי ההוגן של המכונה בתאריכים שונים:</t>
  </si>
  <si>
    <t>תאריך</t>
  </si>
  <si>
    <t>נדרש: הציגו את מכלול ההשפעות המאזניות והתוצאתיות בגין הפריט עבור השנים המתוארות.</t>
  </si>
  <si>
    <t>לפני שערוך</t>
  </si>
  <si>
    <t>לדיווח</t>
  </si>
  <si>
    <t xml:space="preserve">לדיווח </t>
  </si>
  <si>
    <t>רווח כולל אחר</t>
  </si>
  <si>
    <t>יתרת קרן הערכה</t>
  </si>
  <si>
    <t>עלות ״ערך ברוטו״</t>
  </si>
  <si>
    <t xml:space="preserve">הרצאה 4 - המשך רכוש קבוע - מודל הערכה מחדש </t>
  </si>
  <si>
    <t>רקע:</t>
  </si>
  <si>
    <t xml:space="preserve">חברה יכולה (וזה נפוץ) למדוד את פריטי הרכוש הקבוע שבבעלותה לפי מודל שנקרא ״עלות״. </t>
  </si>
  <si>
    <t>אם היא בוחרת למדוד לפי עלות - המשמעות היא שאופן המדידה והחישוב הוא כפי שלמדנו - עלות, בניכוי פחת נצבר,</t>
  </si>
  <si>
    <t xml:space="preserve">בניכוי הפרשות לירידת ערך. </t>
  </si>
  <si>
    <t>הרציונל במדידה לפי עלות בניכוי ערכים, גם אם השווי עולה - הוא שפריט רכוש קבוע לא מתכננים למכור; ולכן גם אם</t>
  </si>
  <si>
    <t>ערכו עולה, אין לתת לכך עקרונית ביטוי מיידי במודל העלות.</t>
  </si>
  <si>
    <t>לצד זאת, התקן IAS 16 מאפשר גם למדוד פריטי רכוש קבוע לפי בסיס מדידה אלטרנטיבי, שנקרא בלטינית:</t>
  </si>
  <si>
    <t xml:space="preserve">הערכותוס מחדשוס. </t>
  </si>
  <si>
    <t>על פי בסיס מדידה זה (הערכה מחדש, בעברית) החברה רשאית לקבוע מבין כלל פריטי הרכוש הקבוע שלה קבוצות שהיא</t>
  </si>
  <si>
    <t xml:space="preserve">תמדוד לפי ״שוויין״ = כלומר, תשערך את ערכן בתדירות שתקבע. </t>
  </si>
  <si>
    <t>המשמעות היא שאם למשל בחברה יש מכונות, מחשבים, כלי רכב וגם מבנים - היא יכולה להחליט שאת המבנים היא</t>
  </si>
  <si>
    <t>תמדוד לפי הערכה מחדש (כי במבנים שינויי השווי עשויים להיות מהותיים והחברה עשויה לרצות לשקף זאת) ואת יתר</t>
  </si>
  <si>
    <t xml:space="preserve">סוגי הפריטים תמדוד לפי עלות. </t>
  </si>
  <si>
    <t xml:space="preserve">כמובן שצריכה להשמר עקביות - כך למשל, אי אפשר בתוך קבוצת המבנים למדוד חלק מהם לפי עלות וחלק לפי </t>
  </si>
  <si>
    <t xml:space="preserve">הערכה מחדש. </t>
  </si>
  <si>
    <t>יישום המודל - הערכה מחדש</t>
  </si>
  <si>
    <t>על בסיס מודל זה, הישות (החברה) צריכה להעריך עד כמה שווי הנכס תנודתי: עד כמה הוא משתנה בקיצוניות.</t>
  </si>
  <si>
    <t xml:space="preserve">אם הפריט משנה שוויו במידה רבה כל שנה - יש לבצע את השערוך (הצגה בשווי הוגן) כל שנה. </t>
  </si>
  <si>
    <t xml:space="preserve">במקרים אחרים, אפשר להעריך אותו מחדש בתדירות נמוכה יותר, למשל, כל 3 שנים או כל 5 שנים. </t>
  </si>
  <si>
    <t xml:space="preserve">בכל מועד הערכה מחדש, ערך הספרים של הנכס משוערך (מותאם) לשוויו ההוגן למועד הדיווח. </t>
  </si>
  <si>
    <t>השאלה היא, לאן נזקוף הפרשים בשווי הנכס כתוצאה מההערכה מחדש?</t>
  </si>
  <si>
    <t>כאן, התשובה מורכבת. התקן מתייחס לכך באופן הבא:</t>
  </si>
  <si>
    <t>בעצם, רגע לפני שנתרגל, נאמר: בעיקרון, עליית ערך נזקפת לקרן הערכה מחדש; אבל אם בעבר הוכר הפסד בדוח רווח</t>
  </si>
  <si>
    <t xml:space="preserve">והפסד, עליית ערך שמבטלת אותו כן תיזקף לרווח והפסד. </t>
  </si>
  <si>
    <t>בעיקרון, ירידת ערך נזקפת לרווח והפסד. אבל אם בעבר הוכרה קרן הערכה מחדש, ירידת ערך שמבטלת אותה תירשם</t>
  </si>
  <si>
    <t xml:space="preserve">כנגד קרן הערכה מחדש. </t>
  </si>
  <si>
    <t xml:space="preserve">חשוב לי לציין שיש עוד היבטים במדידה, למשל האם הקרן קבועה או מופחתת, והאם הפחת הנצבר מתאפס או לא. </t>
  </si>
  <si>
    <t>אבל כדי להמנע מהצגה של ריבוי מלל ללא תכלית, אתייחס לסוגיות הנוספות תוך כדי תנועה. בינתיים זו הסוגיה המרכזית.</t>
  </si>
  <si>
    <t>תרגיל 1</t>
  </si>
  <si>
    <t xml:space="preserve">חברת ״פצפצי העיר״ רכשה ב-1.1.2016 מכונה ענקית לחימום נקניק - לשימוש עובדי המשרד במשך שנים ארוכות. </t>
  </si>
  <si>
    <t>עלות המכונה הסתכמה ב-1,000,000 ש״ח אך פרט לעלות זו, נדרשה פצפץ לשלם דמי תיווך בסך 30,000 ש״ח וכן</t>
  </si>
  <si>
    <t xml:space="preserve">עלויות משפטיות להשלמת העסקה בסכום של 70,000 ש״ח. </t>
  </si>
  <si>
    <t xml:space="preserve">יש להניח כי רכיב השייר זניח. </t>
  </si>
  <si>
    <t>החברה מודדת פריטי רכוש קבוע המשתייכים לקבוצת המכונות והציוד לפי מודל הערכה מחדש, כאשר תדירות ההערכה</t>
  </si>
  <si>
    <t>מחדש היא כל שנה.</t>
  </si>
  <si>
    <t xml:space="preserve">החברה מעריכה את אורך החיים השימושיים של המכונה ב-50 שנים. </t>
  </si>
  <si>
    <t>את התשלום עבור דמי התיווך וכן עבור השלמת העסקה, ביצעה החברה מיד במועד הרכישה, ואילו התמורה העיקרית</t>
  </si>
  <si>
    <t xml:space="preserve">בגין מכונת הנקניק בסך 1,000,000 ש״ח תשולם בחלוף שנתיים ממועד ביצוע הרכישה, וזאת בהתאם לסיכום עם הרוכש. </t>
  </si>
  <si>
    <t xml:space="preserve">מחיר ההון הרלוונטי בחברה להיוון תזרימי המזומנים הקשורים לעסקה הוא 7% לשנה. </t>
  </si>
  <si>
    <t>החברה מאפסת את יתרת הפחת הנצבר בכל מועד הערכה מחדש. קרן ההערכה מחדש מועברת לעודפים במועד המימוש/</t>
  </si>
  <si>
    <t>להלן נתונים בדבר השווי ההוגן של המכונה לחימום נקניק במועדים שונים:</t>
  </si>
  <si>
    <t>שווי הוגן</t>
  </si>
  <si>
    <t>בתאריך 30.6.2021 נמכרה מכונת הנקניק תמורת 1,100,000 ש״ח. החברה סיכמה עם הקונה כי התמורה בעד העסקה</t>
  </si>
  <si>
    <t xml:space="preserve">תועבר אליה ב-30.6.2022. </t>
  </si>
  <si>
    <t xml:space="preserve">נדרש: </t>
  </si>
  <si>
    <t>הציגו את מכלול ההשפעות המאזניות והתוצאתיות בגין כל פריטי הרכוש הקבוע לעיל עבור כל השנים שבהם הוחזקו.</t>
  </si>
  <si>
    <t>עזר</t>
  </si>
  <si>
    <t>עלות:</t>
  </si>
  <si>
    <t>עלויות במזומן:</t>
  </si>
  <si>
    <t>דמי תיווך</t>
  </si>
  <si>
    <t>עלויות משפטיות</t>
  </si>
  <si>
    <t>עלויות נדחות - מהוונות:</t>
  </si>
  <si>
    <t>עלות רכישת המכונה - PV</t>
  </si>
  <si>
    <t>הפרשה לי״ע</t>
  </si>
  <si>
    <t>מכונה</t>
  </si>
  <si>
    <t>הפסד כולל אחר</t>
  </si>
  <si>
    <t>יתרת קרן הערכה מחדש</t>
  </si>
  <si>
    <t>דיווח</t>
  </si>
  <si>
    <t>טרם שערוך</t>
  </si>
  <si>
    <t>איפוס פחנ״צ</t>
  </si>
  <si>
    <t>לאחר שערוך</t>
  </si>
  <si>
    <t>רווח מע״ע - ברווח והפסד</t>
  </si>
  <si>
    <t>הפסד מי״ע - ברווח והפסד</t>
  </si>
  <si>
    <t xml:space="preserve">הגריעה בלבד. הניחו כי יתרת ההתחייבות לשנתיים תסולק ב-31.12.2017. </t>
  </si>
  <si>
    <t>התייחסות למכירה:</t>
  </si>
  <si>
    <t>ערך נוכחי של תמורת המכירה</t>
  </si>
  <si>
    <t>ערך הספרים ערב המכירה</t>
  </si>
  <si>
    <t xml:space="preserve">הפסד הון </t>
  </si>
  <si>
    <t>הפסד הון ממכירה</t>
  </si>
  <si>
    <t>תרגיל 2</t>
  </si>
  <si>
    <t xml:space="preserve">קנלו גייס לחברה שלו צוות של מפתחים גאונים ובראשם רז נאות. </t>
  </si>
  <si>
    <t xml:space="preserve">הם התנו את הסכמתם לעבוד בחברה בכך שהיא תצוייד במכונה ענקית לחימום נקניק. </t>
  </si>
  <si>
    <t>בהתאם, רכשה החברה ב-1.1.2015 מכונה ענקית לחימום נקניק, הכוללת שלל פיצ׳רים, כולל פונקציה מיוחדת</t>
  </si>
  <si>
    <t>המכונה הפכה לזמינה לשימוש מיד במועד רכישתה.</t>
  </si>
  <si>
    <t xml:space="preserve">המכונה צפויה לשרת את החברה במשך 20 שנה, ואין לה ערך שייר / גרט. </t>
  </si>
  <si>
    <t>שיטת הפחת אותה מיישמת החברה בהקשר לפריטים מסוג זה, היא שיטת הקו הישר.</t>
  </si>
  <si>
    <t>בנוסף, מיישמת החברה בהתאם להנחיות IAS 16 את מודל ההערכה מחדש, לגבי כל הפריטים המשתייכים לקבוצת</t>
  </si>
  <si>
    <t xml:space="preserve">המכונות וציוד הנקניק. </t>
  </si>
  <si>
    <t>תדירות ההערכה מחדש היא אחת לשנה.</t>
  </si>
  <si>
    <t>הפחת הנצבר מאופס בכל מועד הערכה מחדש.</t>
  </si>
  <si>
    <t xml:space="preserve">קרן ההערכה מחדש מועברת לעודפים במועד מימוש הנכס בלבד. </t>
  </si>
  <si>
    <t>להלן נתונים לגבי השווי ההוגן של הנכס בתאריכים שונים:</t>
  </si>
  <si>
    <t>שווי הוגן - ש״ח</t>
  </si>
  <si>
    <t xml:space="preserve">בתאריך 1.4.2021 נמכרה המכונה בתמורה ל-110,000 ש״ח. לשם השלמת עסקת המכר, נאלצה לשלם החברה </t>
  </si>
  <si>
    <t xml:space="preserve">למתווך נקניקים עלויות עסקה ישירות בסך 4,000 ש״ח. </t>
  </si>
  <si>
    <t xml:space="preserve">נדרש: הציגו את כל ההשפעות המאזניות והתוצאתיות בגין הפריט החל משנת רכישתו עד וכולל שנת 2021. </t>
  </si>
  <si>
    <t xml:space="preserve">לטחינת פופיקים ועיבוד כרבולות. עלות המכונה 100,000 ש״ח. </t>
  </si>
  <si>
    <t>לאחר המכירה</t>
  </si>
  <si>
    <t>רווח הון ממכירה</t>
  </si>
  <si>
    <t>קרן הערכה שמועברת לעודפים בקצב הפחת - בקצרה</t>
  </si>
  <si>
    <t>רקע קצר: בביצוע יישום של מודל הערכה מחדש - עד כה ההנחה היתה שקרן הערכה מחדש מועברת לעודפים</t>
  </si>
  <si>
    <t>במועד מימוש / מכירת הנכס בלבד.</t>
  </si>
  <si>
    <t xml:space="preserve">ההנחה הזו לגיטימית, מותר לחברה לפעול כך - אך היא איננה חייבת; היא יכולה, כאלטרנטיבה, להפחית </t>
  </si>
  <si>
    <t>את קרן ההערכה מחדש לעודפים בקצב הפחת.</t>
  </si>
  <si>
    <t>עלינו:</t>
  </si>
  <si>
    <t xml:space="preserve">להבין בקטנה את הרציונל (מדוע חלק מהחברות פועלות כך). </t>
  </si>
  <si>
    <t>לפתור ״מאפס״ תרגיל רלוונטי בנושא.</t>
  </si>
  <si>
    <t>המחשה:</t>
  </si>
  <si>
    <t>נניח שיגאל בע״מ היא חברה העוסקת בתחום חימום הנקניק.</t>
  </si>
  <si>
    <t>בחברה מכונות וציוד מסוגים שונים - בולטת מכונת חימום נקניק בכניסה, שהיא ייחודית</t>
  </si>
  <si>
    <t>מסוגה בעולם - ומסוגלת לחמם נקניקיות למדינה קטנה שלמה, בבת אחת.</t>
  </si>
  <si>
    <t>החברה מודעת לשווי הגבוה של המכונה והייחודיות שלה - ומיישמת את מודל ההערכה מחדש</t>
  </si>
  <si>
    <t>למדידתה. נניח שעלות המכונה 10 מ׳ ש״ח, היא נרכשה ב-1.1.2012, היא מופחתת על פני 20 שנים</t>
  </si>
  <si>
    <t>ללא גרט, ויישום השערוך הוא אחת לשנה.</t>
  </si>
  <si>
    <t xml:space="preserve">בהנחה שהשווי ההוגן של המכונה לתום 2012 הוא 14 מ׳ ש״ח, ולתום 2013 הוא 18 מ׳ ש״ח, </t>
  </si>
  <si>
    <t>מהן הוצאות הפחת בחברה בכל אחת משנים אלו?</t>
  </si>
  <si>
    <t>בשנת 2012:</t>
  </si>
  <si>
    <t xml:space="preserve">10,000,000 / 20 = </t>
  </si>
  <si>
    <t>בשנת 2013:</t>
  </si>
  <si>
    <t xml:space="preserve">14,000,000 / 19 = </t>
  </si>
  <si>
    <t>בשנת 2014:</t>
  </si>
  <si>
    <t xml:space="preserve">18,000,000 / 18 = </t>
  </si>
  <si>
    <t>במלים אחרות - השווי עולה - העלייה היא רק לקרן הון / רווח כולל אחר (לא לרווח והפסד, לא לעודפים),</t>
  </si>
  <si>
    <t xml:space="preserve">בעוד שהוצאות הפחת שכן נכנסות לרווח והפסד ולעודפים - מתנפחות. </t>
  </si>
  <si>
    <t>כדי לטפל בעיוות שנוצר כאשר החברה מקטינה עודפים כתוצאה מהוצאות הפחת בגין פריטים שערכם</t>
  </si>
  <si>
    <t xml:space="preserve">עלה, התקן מאפשר (לא דורש) להעביר חלקים מהקרן לעודפים (בקצב הפחת). </t>
  </si>
  <si>
    <t>תרגול - סוגיות הפחתת רכוש קבוע לרבות הפחתה שיטתית של קרן ההערכה מחדש לעודפים</t>
  </si>
  <si>
    <t>מטרת התרגיל:</t>
  </si>
  <si>
    <t xml:space="preserve">לסכם ברמה פרקטית חלק מסוגיות התיאוריה שסקרנו לעיל. </t>
  </si>
  <si>
    <t>להציג את המקרה המתאפשר לפי התקן לפיו קרן ההערכה מחדש מופחתת לעודפים בקצב הפחת (בשונה</t>
  </si>
  <si>
    <t>מהמקרה אותו סקרנו עד כה, המתייחס להעברת מלוא קרן ההערכה לעודפים במועד המימוש / מכירת</t>
  </si>
  <si>
    <t xml:space="preserve">הנכס בלבד). </t>
  </si>
  <si>
    <t>נסח התרגיל:</t>
  </si>
  <si>
    <t xml:space="preserve">חברה רכשה מכונה לחימום נקניק לעובדי המשרד, בתאריך 1.1.2017 (ראו תמונה). </t>
  </si>
  <si>
    <t>עלות המכונה הסתכמה ב-50,000 ש״ח, היא הגיעה לחברה והפכה לזמינה לשימוש</t>
  </si>
  <si>
    <t>מיד באותו היום.</t>
  </si>
  <si>
    <t>החברה מודדת פריטי רכוש קבוע המשוייכים לקבוצת המכונות והציוד לפי מודל</t>
  </si>
  <si>
    <t xml:space="preserve">הערכה מחדש, כאשר תדירות ההערכה מחדש היא כל שנתיים. </t>
  </si>
  <si>
    <t xml:space="preserve">אורך החיים השימושיים של מכונת הנקניק הנו 20 שנה. </t>
  </si>
  <si>
    <t xml:space="preserve">ערך השייר הנאמד לה הוא 0. </t>
  </si>
  <si>
    <t>החברה מפחיתה את קרן ההערכה מחדש לעודפים.</t>
  </si>
  <si>
    <t>החברה מאפסת את הפחת הנצבר בכל מועד שערוך.</t>
  </si>
  <si>
    <t>להלן נתונים בדבר השווי ההוגן של המכונה לחימום הנקניק בתאריכים שונים:</t>
  </si>
  <si>
    <t>שווי - ש״ח</t>
  </si>
  <si>
    <t>ככלל: היינו מצפים שבחברה שבה שינויי השווי של</t>
  </si>
  <si>
    <t>פריטי רכוש קבוע הם כה קיצוניים, שהיא תדאג לשערך</t>
  </si>
  <si>
    <t xml:space="preserve">את הפריט כל שנה (כדי שערכו יהיה קרוב לשווי, </t>
  </si>
  <si>
    <t xml:space="preserve">לפי דרישות התקן). בכל מקרה, עובדים לפי הנתונים. </t>
  </si>
  <si>
    <t>המכונה נמכרה ב-1.6.2025 בתמורה ל-33,000 ש״ח.</t>
  </si>
  <si>
    <t>אחרי שערוך</t>
  </si>
  <si>
    <t>אין שערוך</t>
  </si>
  <si>
    <t>אחרי מכירה</t>
  </si>
  <si>
    <t>עלות - ״ברוטו״</t>
  </si>
  <si>
    <t>הוצאות הפחת</t>
  </si>
  <si>
    <t>רווח מעליית ערך</t>
  </si>
  <si>
    <t>חדש!שינוי חיובי בעודפים כנגד הקרן</t>
  </si>
  <si>
    <t>תרגול לגבי הערכה מחדש - הפחתת קרן לעודפים</t>
  </si>
  <si>
    <t xml:space="preserve">שירה בע״מ רכשה מכונה לחימום נקניק לעובדי המשרד. </t>
  </si>
  <si>
    <t xml:space="preserve">עלות המכונה 500,000 ש״ח. </t>
  </si>
  <si>
    <t>המכונה נרכשה ב-1.1.2020 והיא מופחתת בשיטת הקו הישר על פני</t>
  </si>
  <si>
    <t xml:space="preserve">אורך חיים שימושיים של 10 שנים. </t>
  </si>
  <si>
    <t xml:space="preserve">החברה מבצעת שערוך כל שנה. </t>
  </si>
  <si>
    <t>הקרן מופחתת לעודפים בקצב הפחת.</t>
  </si>
  <si>
    <t>להלן נתוני שווי הוגן:</t>
  </si>
  <si>
    <t>שווי</t>
  </si>
  <si>
    <t xml:space="preserve"> השאלה מוקדשת לשירה שביקשה תרגול</t>
  </si>
  <si>
    <t>שירה הצליחה - אם לא מובן פנו אליה:</t>
  </si>
  <si>
    <t>נוסף בנושא נקניק</t>
  </si>
  <si>
    <t>052-6588311</t>
  </si>
  <si>
    <t xml:space="preserve">שירה מכרה את המכונה בתמורה ל-327,000 נקניקיות ב-1.4.2024. השווי של כל נקניקיה הוא מהימן - 1.1 ש״ח. </t>
  </si>
  <si>
    <t>עלות / ערך ברוטו</t>
  </si>
  <si>
    <t xml:space="preserve">רווח הון ממכירה </t>
  </si>
  <si>
    <t>יתרת קרן הע. מחדש</t>
  </si>
  <si>
    <t>שינוי בעודפים כנגד הקרן</t>
  </si>
  <si>
    <t xml:space="preserve">נדרש: חשבו והציגו את כל היתרות המאזניות והתוצאתיות בגין הפריט עבור שנות הדיווח 2017 - 2025. </t>
  </si>
  <si>
    <t>רכישה:</t>
  </si>
  <si>
    <t>1.1.2017</t>
  </si>
  <si>
    <t>שנות פחת:</t>
  </si>
  <si>
    <t>שערוך כל:</t>
  </si>
  <si>
    <t>שנתיים</t>
  </si>
  <si>
    <t>שווי (אש״ח): 70, 30, 80, 35</t>
  </si>
  <si>
    <t>מפגש 6 - 8/5/2025 - ירידת ערך נכסים - הקשר בין IAS 16 ו- IAS 36</t>
  </si>
  <si>
    <r>
      <t xml:space="preserve">כאשר חברה מודדת פריטי נכסים לא שוטפים במודל </t>
    </r>
    <r>
      <rPr>
        <b/>
        <sz val="12"/>
        <color theme="1"/>
        <rFont val="David"/>
        <family val="2"/>
        <charset val="177"/>
      </rPr>
      <t>הערכה מחדש</t>
    </r>
    <r>
      <rPr>
        <sz val="12"/>
        <color theme="1"/>
        <rFont val="David"/>
        <family val="2"/>
        <charset val="177"/>
      </rPr>
      <t xml:space="preserve">, הרי שהתקן קובע שכאשר חלה ירידת ערך, </t>
    </r>
  </si>
  <si>
    <t xml:space="preserve">שסכומה עולה על יתרת קרן הערכה מחדש לאותו מועד - יוכר הפסד מירידת ערך. </t>
  </si>
  <si>
    <t xml:space="preserve">הנקודה היא שגם כאשר מיושם מודל העלות, תתכן ירידת ערך. זאת משום שהחשבונאות ממש משתדלת להוביל </t>
  </si>
  <si>
    <t xml:space="preserve">למצב שבו באף מקרה לא יוצג נכס בסכום ״מנופח״ (שמרנות). בשפה פשוטה, סבבה שאני מודד במודל העלות </t>
  </si>
  <si>
    <t>את הפריט (כגון מחשב, מכונה, כלי רכב) - אבל אם הוא נדפק (תאונה, אובדן ביקוש, שינוי רגולציה שמונע ממני</t>
  </si>
  <si>
    <t xml:space="preserve">להשתמש בפריט) - לא אוכל לקחת את הראש הענק שלי, לדפוק אותו בחור בחול, ולהגיד ״לא ראיתי לא שמעתי״. </t>
  </si>
  <si>
    <t xml:space="preserve">סעיף 63 ב-IAS 16 מפנה באופן ספציפי ל-IAS 36 שהוא תקן רחב העוסק בירידת ערך נכסים. שימו לב - IAS 36 </t>
  </si>
  <si>
    <t xml:space="preserve">לא חל על רכוש קבוע בלבד, אלא גם על סוגים רבים נוספים של נכסים. אנחנו נעסוק רק בהיבט של רכוש קבוע. </t>
  </si>
  <si>
    <t>שאלת חימום</t>
  </si>
  <si>
    <t>לפניכם מספר אירועים. הסבירו מי מהם מהווה סימן המצביע על ירידת ערך נכס כהגדרתה.</t>
  </si>
  <si>
    <t xml:space="preserve">אירוע 1: החברה קנתה מכונית, עם יציאתה ממגרש היבואן, שווי השוק שלה יורד ב-5%. </t>
  </si>
  <si>
    <t>אירוע 2: החברה קנתה מכונה לחימום נקניק שמותאמת רק לצרכים הספציפיים שלה ולא ניתנת למכירה.</t>
  </si>
  <si>
    <t>אירוע 3: החברה קנתה מכונה לחימום נקניק, קלארקי אכלה בייגלה מעל המכונה, פירורים נפלו לתוכה והיא נתקעה.</t>
  </si>
  <si>
    <t xml:space="preserve">אירוע 4: החברה עוסקת בחימום נקניק ללקוחות, לאחרונה קטן משמעותית הביקוש לחימום נקניק. </t>
  </si>
  <si>
    <t>אירוע 5: החברה מייצרת נקניקים מפופיקים וכרבולות טחונות. לאחרונה בעקבות משבר עולמי עלה בצורה</t>
  </si>
  <si>
    <t xml:space="preserve">דרסטית המחיר של פופיקים וכרבולות. </t>
  </si>
  <si>
    <t>אירוע 6: חברת Apple הקימה ״חנות דגל״ בקליפורניה. בעקבות המגבלות שהטיל טראמפ על מכסים ויבוא</t>
  </si>
  <si>
    <t xml:space="preserve">מסין, קיים סיכוי גבוה מאד שהיא לא תוכל לספק סחורה. </t>
  </si>
  <si>
    <t>לא סממן</t>
  </si>
  <si>
    <t>סממן</t>
  </si>
  <si>
    <t>לרדת, זהו סממן לירידת ערך. אין זה משנה אם המידע הזה מצביע על אירוע פנימי בחברה, אירוע חיצוני, אירוע שקשור לביקושים, לעלויות</t>
  </si>
  <si>
    <t xml:space="preserve">או לכל עניין אחר - יש לבדוק את השלכתו. </t>
  </si>
  <si>
    <t>באופן כללי התפיסה היא כזו: אם אני מזהה מידע ״חדש״ שבעקבותיו ההטבות נטו (PV של התזרימים נטו) שהפריט צפוי להניב עלולות</t>
  </si>
  <si>
    <t>סבבה, גילית סממן לירידת ערך, מה השלב הבא?</t>
  </si>
  <si>
    <t>התקן (IAS 36) דורש מאיתנו לבחון שני ערכים בבואנו להעריך את ההשפעה של הסממן לירידת הערך על הנכס:</t>
  </si>
  <si>
    <t>א. ערך הספרים של הנכס (ערב גילוי הסממן)</t>
  </si>
  <si>
    <t>ב. סכום בר השבה - הגבוה מבין שני ערכים:</t>
  </si>
  <si>
    <t>ב.1. שווי הוגן בניכוי עלויות מכירה - התקבול הצפוי במכירה נטו</t>
  </si>
  <si>
    <t>ב.2. שווי שימוש נטו - PV של תזרימי המזומנים הנקיים שהנכס צפוי להניב במצבו הנוכחי</t>
  </si>
  <si>
    <t>השלב הבא הוא:</t>
  </si>
  <si>
    <t xml:space="preserve">אם הסכום בר ההשבה של הנכס נמוך מערך הספרים - </t>
  </si>
  <si>
    <t>יוכר הפסד מירידת ערך (אלא אם קיימת יתרה בקרן הון)</t>
  </si>
  <si>
    <t xml:space="preserve">אם הסכום בר ההשבה של הנכס גבוה מערך הספרים - </t>
  </si>
  <si>
    <t>לא נעשה כלום (כי לא מדברים כאן על הערכה מחדש)</t>
  </si>
  <si>
    <t>אלא אם כן הוכר הפסד בעבר.</t>
  </si>
  <si>
    <t>שאלה 19 - תרגיל בסיסי לגבי ירידת ערך נכסים</t>
  </si>
  <si>
    <t>חברת ״אביב המומחה הבכיר״ בע״מ (להלן: ״החברה״) היא חברה ציבורית העוסקת במגוון רחב של פעילויות</t>
  </si>
  <si>
    <t>עסקיות. לאחרונה רכשה החברה מכונת חימום נקניק גדולה לשם חימום נקניק ללקוחותיה.</t>
  </si>
  <si>
    <t>המכונה נרכשה ב-1.1.2019 בעלות של 100,000 ש״ח, והובלתה לחברה שבוצעה מיד באותו היום, בוצעה</t>
  </si>
  <si>
    <t>בתמורה ל-20,000 ש״ח נוספים. המכונה הפכה לזמינה לשימוש באופן מיידי, אורך חייה השימושיים בחברה</t>
  </si>
  <si>
    <t>מוערך ב-5 שנים ושיטת הפחתתה היא הקו הישר. החברה מודדת פריטי רכוש קבוע המשתייכים לקבוצות</t>
  </si>
  <si>
    <t>המכונות וציוד הייצור לפי מודל העלות. הניחו לשם פשטות כי ערך השייר (הגרט) של המכונה בתום חייה</t>
  </si>
  <si>
    <t>השימושיים הוא כמו חיי החברה והפנאי של שי.</t>
  </si>
  <si>
    <t>לקראת תום שנת 2020 החליט רואה החשבון אביב רופל לעזוב את החברה ולהתמקד בפעילות שחייה. לקוחות</t>
  </si>
  <si>
    <t>החברה המרובים ששמעו על החדשות המצערות, הביעו תרעומת גדולה באתר החברה, ומנויים רבים לשירותי</t>
  </si>
  <si>
    <t xml:space="preserve">חימום הנקניק איימו - </t>
  </si>
  <si>
    <t>לעבור למתחרים. כפועל יוצא, ערכה החברה ניתוח רגישות באמצעות משרד פרסום מוביל, והממצאים הנכונים</t>
  </si>
  <si>
    <t>ליום 31.12.2020, ולפיהם השווי ההוגן של המכונה בניכוי עלויות המכירה הנו 70,000 ש״ח, ואילו שווי השימוש</t>
  </si>
  <si>
    <t>המתמשך נטו, בערכים מהוונים, הוא 90,000 ש״ח.</t>
  </si>
  <si>
    <t>לאור שינוי מהותי זה, ביצעה החברה בדיקות נוספות של הערכים הנ״ל בשנים העוקבות, ולהלן הממצאים:</t>
  </si>
  <si>
    <t>עלויות מכירה</t>
  </si>
  <si>
    <t>שווי שימוש</t>
  </si>
  <si>
    <t>חשבו והציגו את מכלול היתרות המאזניות והתוצאתיות בגין הפריט עבור כל אחת מהשנים שלגביהן</t>
  </si>
  <si>
    <t xml:space="preserve">קיימים נתונים בשאלה. הוסיפו פקודות יומן מפורטות לכל אורכו של התהליך הרישומי-חשבונאי. </t>
  </si>
  <si>
    <t>הפסד מי״ע</t>
  </si>
  <si>
    <t>רווח מע״ע</t>
  </si>
  <si>
    <t>לפני בדיקה</t>
  </si>
  <si>
    <t>סכום בר השבה 2020 - הגבוה מבין שווי הוגן בניכוי עלויות מכירה לבין שווי</t>
  </si>
  <si>
    <t>שימוש נטו: 90,000. הואיל וערך זה גבוה מערך הספרים ערב הבדיקה,</t>
  </si>
  <si>
    <t xml:space="preserve">ואין הפסד בעבר שאפשר לבטל, לא תבוצע פעולה כלשהי. </t>
  </si>
  <si>
    <t>ב-2021: שווי הוגן בניכוי עלויות מכירה 35,000; שווי שימוש נטו 30,000, הגבוה מביניהם - 35,000 (זה סב״ה)</t>
  </si>
  <si>
    <t>ב-2022: הסכום בר ההשבה 42,000; גבוה מערך הספרים; הואיל ולמועד זה קיימת יתרת הפרשה לירידת ערך, ניתן להכיר</t>
  </si>
  <si>
    <t xml:space="preserve">בעלייה גד לגובה יתרת ההפרשה - כנגד רווח מ״ע. </t>
  </si>
  <si>
    <t>פקודות יומן</t>
  </si>
  <si>
    <t>ח</t>
  </si>
  <si>
    <t>ז</t>
  </si>
  <si>
    <t>ח׳ מכונה לחימום נקניק (עלות)</t>
  </si>
  <si>
    <t>ח׳ הוצאות פחת</t>
  </si>
  <si>
    <t xml:space="preserve">ז׳ פחנ״צ </t>
  </si>
  <si>
    <t>ח׳ הפסד מי״ע</t>
  </si>
  <si>
    <t>ז׳ הפרשה לי״ע</t>
  </si>
  <si>
    <t>ח׳ הפרשה לירידת ערך</t>
  </si>
  <si>
    <t>ח׳ הפרשה לי״ע</t>
  </si>
  <si>
    <t>ז׳ רווח מע״ע</t>
  </si>
  <si>
    <t>שאלה 20 - לשימוש עצמי של יגאל</t>
  </si>
  <si>
    <t>חברת ״יגאל ויגאלים״ בע״מ היא חברה ציבורית המדווחת לפי כללי ה - IFRS ועוסקת בחימום נקניק לעוברים והשבים.</t>
  </si>
  <si>
    <t xml:space="preserve">בתאריך 1.1.2020 רכשה החברה מכונה ענקית לחימום נקניק בעלות של 1,000,000 ש״ח. </t>
  </si>
  <si>
    <t xml:space="preserve">אורך החיים השימושיים של המכונה 10 שנים, והיא מופחתת בשיטת הקו הישר ללא ערך שייר. </t>
  </si>
  <si>
    <t>החברה מיישמת את מודל העלות כהגדרתו ב - IAS 16 למדידת פריטי הרכוש הקבוע שבבעלותה.</t>
  </si>
  <si>
    <t xml:space="preserve">בתאריך 31/12/2022 נחנק לקוח מכרבולת שנתקעה על צלעות מכונת הנקניק. החנק פורסם ברשתות החברתיות </t>
  </si>
  <si>
    <t>והחברה ספגה נזק תדמיתי כבד. להערכת המנכ״ל יגאל - קיים חשש להשפעה שלילית על הערך שתניב המכונה לחברה</t>
  </si>
  <si>
    <t>בשנים הבאות.</t>
  </si>
  <si>
    <t>בהתאם, ביצעה החברה הערכות כלכליות לגבי הערך שצפוי להתקבל משימוש במכונה (שווי שימוש נטו) וממכירתה</t>
  </si>
  <si>
    <t>ליום זה. להלן הנתונים:</t>
  </si>
  <si>
    <t>מחיר מכירה</t>
  </si>
  <si>
    <t>שווי שימוש נטו</t>
  </si>
  <si>
    <t>לאור ההשפעה המשמעותית של האירוע, החברה המשיכה ובחנה בזהירות האם קיימים סממנים שעלולים להעיד</t>
  </si>
  <si>
    <t>על ירידת ערך נוספת או עליית ערך בשנים הבאות, ולהלן הממצאים:</t>
  </si>
  <si>
    <t xml:space="preserve">בתאריך 31/12/2025 הלקוח שנחנק מהנקניק נפטר, ולפיכך עצרה התביעה ומסע ההכפשה כנגד החברה. </t>
  </si>
  <si>
    <t xml:space="preserve">נדרש: חשבו והציגו את מכלול היתרות המאזניות והתוצאתיות בגין הפריט לשנים המופיעות בשאלה. </t>
  </si>
  <si>
    <t>לפני</t>
  </si>
  <si>
    <t>אחרי</t>
  </si>
  <si>
    <t>הפרשה</t>
  </si>
  <si>
    <t>סב״ה</t>
  </si>
  <si>
    <t>חברת ״ללא מסים״ בע״מ (להלן: ״החברה״) הוקמה ביום 1.1.2007 והיא מייצרת טלפונים סלולריים.</t>
  </si>
  <si>
    <t xml:space="preserve">במועד הקמתה רכשה החברה מכונה להרכבת טלפונים סלולריים תמורת 500,000 ש״ח. המכונה מופחתת </t>
  </si>
  <si>
    <t>בשיטת הקו הישר על פני 10 שנים, וערך השייר (הגרט) שלה הוערך ב-50,000 ש״ח.</t>
  </si>
  <si>
    <t>בתחילת שנת 2009, בעקבות שינוי בסביבה התחרותית בשוק המוצרים שבו פועלת החברה, חלה ירידה</t>
  </si>
  <si>
    <t>חדה במכירות החברה. כתגובה, החברה שכרה שירותיו של יועץ כלכלי על מנת להעריך את מצבה של המכונה.</t>
  </si>
  <si>
    <t>הממצאים הנובעים מהבדיקה וערכם נכון ליום 31.12.2009 הם כדלקמן:</t>
  </si>
  <si>
    <t>אם החברה תחליט למכור את המכונה, מחיר המכירה יהיה 320,000 ש״ח ועלויות המימוש יהוו 1% ממחיר המכירה.</t>
  </si>
  <si>
    <t>אם החברה תחליט להמשיך ולהפעיל את המכונה, צפי תזרים המזומנים של החברה לשנת 2010 צפוי להיות בסכום</t>
  </si>
  <si>
    <t>נטו של 75,000 ש״ח ולאחר מכן צפוי קיטון בשיעור 3% בתזרים המזומנים השנתי, עד לסיום תקופת ההפחתה.</t>
  </si>
  <si>
    <t xml:space="preserve">בנוסף מעריך היועץ כי יתרת אורך חיי המכונה החל מ-1.1.2009 הוא 6 שנים בלבד וזאת לאור שינוי בדפוס </t>
  </si>
  <si>
    <t>בשנים 2010 ו-2011 לא חל שינוי מהותי במכירות החברה (לחיוב או לשלילה). לאור זאת מעריכה החברה כי</t>
  </si>
  <si>
    <t xml:space="preserve">התבססות על ערך הספרים שנקבע במועד שינוי הערך האחרון הוא מייצג לטובת מדידה בשנים אלו. </t>
  </si>
  <si>
    <t>בשנת 2012, החברה הצליחה ליישם תכנית התייעלות במסגרתה צמצמה את הוצאותיה באופן ניכר ולכן צפי</t>
  </si>
  <si>
    <t xml:space="preserve">תזרים המזומנים העתידי הנובע מהמכונה בהנחת המשך שימושים הוא בסך 85,000 ש״ח לשנה. </t>
  </si>
  <si>
    <t>מחיר המכירה לתום 2012 מוערך ב-106,667 ש״ח. אין שינוי באומדן שיעור עלויות המימוש.</t>
  </si>
  <si>
    <t xml:space="preserve">בשנת 2013, החליטה החברה לעבור לתחום פעילות אחר ולכן מכרה את המכונה שברשותה ב-1.7.2013 </t>
  </si>
  <si>
    <t>בתמורה ל-60,000 ש״ח, וכן שילמה לצורך הסדרת המכירה לעורך דין 1% מהמחיר המוסכם.</t>
  </si>
  <si>
    <t>ידוע כי מחיר ההון של החברה הוא 8% לשנה.</t>
  </si>
  <si>
    <t>החברה איננה כפופה למסים על ההכנסה, ותזרימי המזומנים שלה מופקים בתום כל שנה.</t>
  </si>
  <si>
    <t>רשמו פקודות יומן לגבי המכונה ממועד רכישתה עד מועד מכירתה.</t>
  </si>
  <si>
    <t xml:space="preserve">הציגו את האופן שבו תופיע המכונה נטו בדוח על המצב הכספי (מאזן) החברה בשנים 2007-2013. </t>
  </si>
  <si>
    <t>שאלה 21 - תרגיל משמעותי יותר - המשמעות של חישוב עצמאי של שווי שימוש נטו</t>
  </si>
  <si>
    <t>לפני - עזר</t>
  </si>
  <si>
    <t>שנת 2009 - קיים סממן לירידת ערך, בתום השנה, טרם הדיווח, נחשב סכום בר השבה:</t>
  </si>
  <si>
    <t>שווי הוגן (מחיר מכירה)</t>
  </si>
  <si>
    <t>בניכוי עלויות מכירה 1%</t>
  </si>
  <si>
    <t>שווי הוגן בניכוי ע. מכירה</t>
  </si>
  <si>
    <t>הגבוה מבין שווי הוגן בניכוי ע. מכירה:</t>
  </si>
  <si>
    <t>תזרים</t>
  </si>
  <si>
    <t>מס׳ שנה</t>
  </si>
  <si>
    <t>על פי נתוני השאלה, חל שינוי אומדן בהיבט יתרת החיים</t>
  </si>
  <si>
    <t>השימושיים, כך שהיא עומדת על 6 שנים החל מיום 1.1.2009</t>
  </si>
  <si>
    <t xml:space="preserve">או על 5 שנים משנת 2010 צפונה (שזה מה שאני רוצה - </t>
  </si>
  <si>
    <t xml:space="preserve">כי אני מעריך תזרים עתידי לטובת שווי שימוש נטו). </t>
  </si>
  <si>
    <t>לבין שווי שימוש נטו - המבוסס על PV תזרימים נטו:</t>
  </si>
  <si>
    <t>מחיר ההון</t>
  </si>
  <si>
    <t xml:space="preserve">rate = </t>
  </si>
  <si>
    <t xml:space="preserve">NPV = </t>
  </si>
  <si>
    <t>שווי שימוש נטו ל-31.12.2009</t>
  </si>
  <si>
    <t>סב״ה ליום 31.12.2009 הוא הגבוה מבין שווי הוגן בניכוי עלויות מכירה לשווי שימוש נטו:</t>
  </si>
  <si>
    <t xml:space="preserve">MAX(316,800 ; 283,336)  = </t>
  </si>
  <si>
    <t>השימושים במכונה, וכי ערך השייר הוא אפס (הנחה פרשנית - החברה אימצה פרשנות לפיה אורך החיים מ-31.12.09 הוא 5 שנים).</t>
  </si>
  <si>
    <t>שאלה 22 - ירידת ערך נכסים במודל העלות כאשר שווי השימוש נטו לא נתון מפורשות</t>
  </si>
  <si>
    <t xml:space="preserve">חברת ״משה בתיבה״ בע״מ רכשה ב-1.1.2009 מכונה לחימום בורקס נקניק. </t>
  </si>
  <si>
    <t xml:space="preserve">עלות המכונה 800,000 ש״ח, אורך חייה 7 שנים וערך הגרט / השייר שלה 0. </t>
  </si>
  <si>
    <t xml:space="preserve">בתאריך 1/1/2010 לאור היקף חימום הנקניק האינטנסיבי בחברה, היא מעריכה את יתרת אורך חיי מכונת הנקניק </t>
  </si>
  <si>
    <t xml:space="preserve">ב-5 שנים החל ממועד זה. </t>
  </si>
  <si>
    <t xml:space="preserve">לקראת סוף שנת 2011, גילו שאחד העובדים הקיא במכונה, וכפועל יוצא נוצרו במכונה חיידקים בלתי ניתנים לניקוי. </t>
  </si>
  <si>
    <t>אחד מהעובדים בחברה פרסם על כך פוסט, וכפועל יוצא התעורר חשש כבד בחברה באשר ליכולתה להניב הטבות</t>
  </si>
  <si>
    <t xml:space="preserve">כלכליות מחימום הנקניק בבצק עלים כאמור. </t>
  </si>
  <si>
    <t>כתוצאה מכך, החברה דאגה, במהלך כל אחת מהשנים הבאות, לבצע בדיקה כלכלית הקשורה לנאותות ההטבות</t>
  </si>
  <si>
    <t>הצפויות להיווצר מהמכונה, כדלקמן:</t>
  </si>
  <si>
    <t>לתום 2011:</t>
  </si>
  <si>
    <t>מחיר המכירה הצפוי ברוטו הוא 300,000 ש״ח, ועלויות המכירה הן 20,000 ש״ח.</t>
  </si>
  <si>
    <t>המשך שימוש במכונת הנקניק צפוי להניב לחברה סכום של 60,000 ש״ח בתום השנה הקרובה, כאשר בתום כל שנת</t>
  </si>
  <si>
    <t xml:space="preserve">חיים עוקבת, יקטן סכום זה ב-10,000 ש״ח. </t>
  </si>
  <si>
    <t>לתום 2012:</t>
  </si>
  <si>
    <t>מחיר המכירה הצפוי ברוטו הוא 440,000 ש״ח ועלויות המכירה הן 30,000 ש״ח.</t>
  </si>
  <si>
    <t xml:space="preserve">המשך השימוש במכונת הנקניק לא צפוי להניב לחברה תזרים חיובי בתום השנה הקרובה, בשנה העוקבת </t>
  </si>
  <si>
    <r>
      <t>התזרים יהיה שלילי בסך 20,000 ש״ח</t>
    </r>
    <r>
      <rPr>
        <strike/>
        <sz val="12"/>
        <color rgb="FFFF0000"/>
        <rFont val="David"/>
        <family val="2"/>
        <charset val="177"/>
      </rPr>
      <t xml:space="preserve">, ובכל שנה לאחר מכן עד לתום חיי המכונה - התזרים יהיה 70,000. </t>
    </r>
  </si>
  <si>
    <t>לתום 2013:</t>
  </si>
  <si>
    <t xml:space="preserve">החברה הצליחה להוכיח מדעית שכל שאריות הקיא נוקו מהמכונה. </t>
  </si>
  <si>
    <t>נכון לאותו היום, השווי ההוגן הוא 480,000 ש״ח, עלויות המכירה 10,000 ש״ח, והתזרימים הצפויים בתום כל שנה</t>
  </si>
  <si>
    <t xml:space="preserve">עד לתום חיי המכונה הם 200,000 ש״ח. </t>
  </si>
  <si>
    <t>מחיר ההון של החברה 8% לשנה.</t>
  </si>
  <si>
    <t>נדרש: הציגו בטבלה את מכלול ההשפעות המאזניות והתוצאתיות בגין הפריט עבור השנים 2009-2013.</t>
  </si>
  <si>
    <t>מפגש 7 - המשך י״ע נכסים</t>
  </si>
  <si>
    <t>לאחר בדיקה</t>
  </si>
  <si>
    <r>
      <t xml:space="preserve">מחיר המכירה הצפוי ברוטו הוא 300,000 ש״ח, ועלויות המכירה הן 20,000 ש״ח </t>
    </r>
    <r>
      <rPr>
        <sz val="12"/>
        <color rgb="FFFF0000"/>
        <rFont val="David"/>
        <family val="2"/>
        <charset val="177"/>
      </rPr>
      <t>[שווי הוגן בניכוי ע. מכירה - 280,000]</t>
    </r>
    <r>
      <rPr>
        <sz val="12"/>
        <color theme="1"/>
        <rFont val="David"/>
        <family val="2"/>
        <charset val="177"/>
      </rPr>
      <t>.</t>
    </r>
  </si>
  <si>
    <t>שווי שימוש נטו:</t>
  </si>
  <si>
    <t>מחיר הון</t>
  </si>
  <si>
    <t>שווי שימוש נטו NPV</t>
  </si>
  <si>
    <t>סב״ה - הגבוה מביניהם</t>
  </si>
  <si>
    <t>גבוה בטירוף, כמובן שלא מעיד על ירידת ערך, ועלייית ערך לא רלוונטית כי ההפרשה אופסה ש״ק</t>
  </si>
  <si>
    <t xml:space="preserve">חברת ״לפעמים החגיגה נגמרת״ בע״מ (להלן: ״החברה״) היא חברה תעשייתית בתחום השימורים אשר הוקמה </t>
  </si>
  <si>
    <t>בתאריך 1 בינואר 2008. ביום הקמתה, רכשה החברה קו ייצור (להלן - ״קו ייצור א״) תמורת 5,400 אלפי ש״ח.</t>
  </si>
  <si>
    <t>להלן נתונים נוספים:</t>
  </si>
  <si>
    <t>א. קו הייצור א הפך לזמין והחל לשמש את החברה מיד במועד רכישתו. הוא מופחת על פני 5 שנים בשיטת הקו</t>
  </si>
  <si>
    <t>הישר. ערך השייר / הגרט הנאמד לפריט הוא אפס. במהלך כל שנות חיי קו הייצור בחברה לא חל שינוי בערך היישר</t>
  </si>
  <si>
    <t>ו/או באורך החיים הצפוי של הפריט.</t>
  </si>
  <si>
    <t xml:space="preserve">ב. ב-1 ביולי 2009 רכשה החברה קו ייצור נוסף (להלן: ״קו ייצור ב״) בעלות של 6,000 אלפי ש״ח. לצורך </t>
  </si>
  <si>
    <t>מימון 50% מעלות הרכישה, נטלה החברה ביום 1 ביולי 2009 הלוואה מהבנק לתקופה של 5 שנים. ההלוואה</t>
  </si>
  <si>
    <t>נושאת ריבית בשיעור 6% לשנה המשולמת מדי שנה, החל מ-1.7.2010. הריבית לחלקי תקופה נצברת בשיטת הריבית</t>
  </si>
  <si>
    <t>הפשוטה, וקרן ההלוואה והריבית בגינה צמודות לדולר.</t>
  </si>
  <si>
    <r>
      <rPr>
        <b/>
        <u/>
        <sz val="12"/>
        <color theme="1"/>
        <rFont val="David"/>
        <family val="2"/>
        <charset val="177"/>
      </rPr>
      <t>תהליך התקנת קו הייצור והכנתו לפעולה הסתיים ב-1 ביולי 2010</t>
    </r>
    <r>
      <rPr>
        <sz val="12"/>
        <color theme="1"/>
        <rFont val="David"/>
        <family val="2"/>
        <charset val="177"/>
      </rPr>
      <t xml:space="preserve">. במועד זה הופעל קו הייצור. עלויות ההכנה </t>
    </r>
  </si>
  <si>
    <t>וההתקנה הסתכמו לסך של 100 אלפי ש״ח, כאשר עלויות התקנה אלו מתפלגות באופן שווה על פני תקופת ההתקנה.</t>
  </si>
  <si>
    <r>
      <rPr>
        <b/>
        <u/>
        <sz val="12"/>
        <color theme="1"/>
        <rFont val="David"/>
        <family val="2"/>
        <charset val="177"/>
      </rPr>
      <t>קו הייצור מופחת על פני 4.5 שנים בשיטת הקו הישר</t>
    </r>
    <r>
      <rPr>
        <sz val="12"/>
        <color theme="1"/>
        <rFont val="David"/>
        <family val="2"/>
        <charset val="177"/>
      </rPr>
      <t xml:space="preserve">. </t>
    </r>
    <r>
      <rPr>
        <b/>
        <sz val="12"/>
        <color theme="1"/>
        <rFont val="David"/>
        <family val="2"/>
        <charset val="177"/>
      </rPr>
      <t>ערך השייר הצפוי הוא 150 אלפי ש״ח</t>
    </r>
    <r>
      <rPr>
        <sz val="12"/>
        <color theme="1"/>
        <rFont val="David"/>
        <family val="2"/>
        <charset val="177"/>
      </rPr>
      <t>. במהלך שנות חיי קו</t>
    </r>
  </si>
  <si>
    <t>הייצור לא חל שינוי בערך השייר ו/או באורך החיים הצפוי של הפריט. ערך השייר הוערך כחיובי לראשונה בהשלמת הנכס.</t>
  </si>
  <si>
    <t>ג. בתום 2009 פורסם מחקר רפואי הקובע כי בתהליך שימור המזון נוצרים חיידקים צואתיים. בעקבות פרסום</t>
  </si>
  <si>
    <t>המאמר חלה ירידה משמעותית בביקוש לקופסאות השימורים. החברה החלה מיידית בביצוע פעולות מתקנות</t>
  </si>
  <si>
    <t>אך בסוף 2010 החריפה הירידה בביקוש.</t>
  </si>
  <si>
    <t>ד. להלן נתונים לגבי תקבולים ותשלומים צפויים מהפעלת שני קווי הייצור:</t>
  </si>
  <si>
    <t>קו ייצור א</t>
  </si>
  <si>
    <t>הכנסות</t>
  </si>
  <si>
    <t>הוצ׳ תפעול</t>
  </si>
  <si>
    <t>מסים</t>
  </si>
  <si>
    <t>קו ייצור ב</t>
  </si>
  <si>
    <t>הערה: נתוני 2010 כוללים גם עלויות חזויות להשלמת הנכס.</t>
  </si>
  <si>
    <t>ה. במהלך שנת 2011 סיימה החברה בהצלחה את התהליך שיימנע היווצרות חיידקים צואתיים. הם שולבו</t>
  </si>
  <si>
    <t>בתהליך הייצור החל משנת 2012. להלן תחזית הנהלת החברה לגבי התשלומים והתקבולים מכל אחד מקווי</t>
  </si>
  <si>
    <t>הייצור ליום 31.12.2011:</t>
  </si>
  <si>
    <t>ו. להלן השווי ההוגן של קווי הייצור:</t>
  </si>
  <si>
    <t>ז. להלן נותנים בדבר שערי החליפין של הדולר:</t>
  </si>
  <si>
    <t>שע״ח</t>
  </si>
  <si>
    <t>ח. נתונים נוספים:</t>
  </si>
  <si>
    <t>שיעור ההיוון לפני מס הנו 7%.</t>
  </si>
  <si>
    <t>שיעור המס החל על החברה הוא 36%.</t>
  </si>
  <si>
    <t>מדיניות היוון העלויות של החברה מקובלת על רשויות המס.</t>
  </si>
  <si>
    <t>ההפסד הנובע מירידת ערך לא יותר בניכוי לצרכי מס.</t>
  </si>
  <si>
    <t>החברה צופה רווחים בשנים הבאות.</t>
  </si>
  <si>
    <t xml:space="preserve">נדרש: חשבו והציגו פקודות יומן רלוונטיות והציגו את יתרת ערך הספרים של הפריט ואת יתרת נכס / התחייבות </t>
  </si>
  <si>
    <t>המס הנדחה לתום כל אחת מהשנים. יש לבצע דיון מפורט בגין כל קו ייצור בנפרד.</t>
  </si>
  <si>
    <t>שאלה 23 - שאלה בנושא IAS 36 - ״לפעמים החגיגה נגמרת״</t>
  </si>
  <si>
    <t xml:space="preserve">שווי שימוש נטו מביא </t>
  </si>
  <si>
    <t>בחשבון את התזרים התפעולי</t>
  </si>
  <si>
    <t>ללא עלויות מימון ומסים</t>
  </si>
  <si>
    <t xml:space="preserve">שווי שימוש נטו </t>
  </si>
  <si>
    <t>שיעור היוון (מחיר הון)</t>
  </si>
  <si>
    <t>שווי שימוש נטו - NPV</t>
  </si>
  <si>
    <t>שווי הוגן (אין עלויות מכירה)</t>
  </si>
  <si>
    <t>סב״ה לפי הגבוה</t>
  </si>
  <si>
    <t>שזהה לדיווח</t>
  </si>
  <si>
    <t>קו ייצור א - מסים על ההכנסה</t>
  </si>
  <si>
    <t>בסיס המס</t>
  </si>
  <si>
    <t>הפרש זמני (ניתן לניכוי)</t>
  </si>
  <si>
    <t>שיעור המס</t>
  </si>
  <si>
    <t xml:space="preserve">נכס מס נדחה </t>
  </si>
  <si>
    <r>
      <t xml:space="preserve">הכנסות מס נדחה </t>
    </r>
    <r>
      <rPr>
        <b/>
        <sz val="10"/>
        <color theme="1"/>
        <rFont val="David"/>
        <family val="2"/>
        <charset val="177"/>
      </rPr>
      <t>(לפי העלייה בנכס מס נדחה)</t>
    </r>
  </si>
  <si>
    <r>
      <t xml:space="preserve">הוצאות מס נדחה </t>
    </r>
    <r>
      <rPr>
        <b/>
        <sz val="8"/>
        <color theme="1"/>
        <rFont val="David"/>
        <family val="2"/>
        <charset val="177"/>
      </rPr>
      <t>(לפי הירידה בנכס מס נדחה)</t>
    </r>
  </si>
  <si>
    <t>חישוב עלויות כוללות של הפריט בשלבי הקמתו:</t>
  </si>
  <si>
    <t>עלות ישירה</t>
  </si>
  <si>
    <t>עלויות התקנה</t>
  </si>
  <si>
    <t>ע. מימון</t>
  </si>
  <si>
    <t>יתרה לדיווח</t>
  </si>
  <si>
    <t>ע. מימון:</t>
  </si>
  <si>
    <t>תשלומים</t>
  </si>
  <si>
    <t>עלויות מימון</t>
  </si>
  <si>
    <t>PN</t>
  </si>
  <si>
    <t>חישוב סכום בר השבה - קו ייצור ב</t>
  </si>
  <si>
    <t>תזרימים לטובת שווי שימוש נטו:</t>
  </si>
  <si>
    <t>ש.ש.נ</t>
  </si>
  <si>
    <t>י.פ.</t>
  </si>
  <si>
    <t>י.ס.</t>
  </si>
  <si>
    <t>נתון ביניים</t>
  </si>
  <si>
    <t>הוצאות מימון ברווח והפסד</t>
  </si>
  <si>
    <t>החל משנת 2011, בהיעדר נתונים סותרים, אין שינויים בשער הדולר, לכן הוצאות המימון</t>
  </si>
  <si>
    <t>הן המכפלה הפשוטה של שיעור הריבית ביתרת הקרן לתום 2010:</t>
  </si>
  <si>
    <t xml:space="preserve">3,000 * 3.925/3.5 * 6% = </t>
  </si>
  <si>
    <t>קו ייצור ב - מסים על ההכנסה</t>
  </si>
  <si>
    <t>שיעור 8 - המשך דיון ב-IAS 16 בהיבט ירידת ערך נכסים (משולב עם IAS 36) בהדגש הסוגיות מ״חגיגה נגמרת״</t>
  </si>
  <si>
    <t>מטרה:</t>
  </si>
  <si>
    <t>בחלק האחרון של המפגש הקודם, התחלנו לפתור שאלה גדולה שמשלבת את IAS 16 עם IAS 36, אך כוללת גם סוגיות</t>
  </si>
  <si>
    <t xml:space="preserve">בעלויות מימון ובמסים. </t>
  </si>
  <si>
    <t>מטרתנו היא לעטוף כעת באופן עקרוני את הסוגיות האלו, להמחיש את ההיגיון בבסיסן - ובעיקר לתרגל באופן</t>
  </si>
  <si>
    <t>שייתן לנו הבנה מעמיקה יותר לגביהן.</t>
  </si>
  <si>
    <t>תכל׳ס:</t>
  </si>
  <si>
    <t xml:space="preserve">א. נתחיל מאופן חישוב עלויות מימון במקרה של הלוואות צמודות, כולל רכיבים של ריבית לשלם ו״מעגלים״. </t>
  </si>
  <si>
    <t>ב. נתייחס לאופן הטיפול בחישוב שווי שימוש נטו על בסיס נתוני הכנסות והוצאות.</t>
  </si>
  <si>
    <t>ג. נדגיש את הפערים בין אופן הטיפול החשבונאי בנכסים לבין אופן הטיפול לצורך מס - וההיגיון בהשפעת המס</t>
  </si>
  <si>
    <t>ד. נחבר ונעטוף את הדברים בהקשר ל - IAS 16 בתרגול רלוונטי.</t>
  </si>
  <si>
    <t>א. עלויות מימון במקרה של הלוואות צמודות</t>
  </si>
  <si>
    <t xml:space="preserve">עקרונית - חישוב הוצאות / עלויות מימון - זה נושא של ״מימון״ ולא של חשבונאות; ובטח לא בהקשר מאד ישיר </t>
  </si>
  <si>
    <r>
      <t xml:space="preserve">לרכוש קבוע. יחד עם זאת, לעתים עלויות מימון שנוצרות כדי לגייס כסף שמשמש </t>
    </r>
    <r>
      <rPr>
        <b/>
        <sz val="12"/>
        <color theme="1"/>
        <rFont val="David"/>
        <family val="2"/>
        <charset val="177"/>
      </rPr>
      <t>להקמת נכס</t>
    </r>
    <r>
      <rPr>
        <sz val="12"/>
        <color theme="1"/>
        <rFont val="David"/>
        <family val="2"/>
        <charset val="177"/>
      </rPr>
      <t xml:space="preserve"> (רכוש קבוע) - </t>
    </r>
  </si>
  <si>
    <t xml:space="preserve">מתייחסים אליהן כחלק מעלותו. </t>
  </si>
  <si>
    <t>תקן חשבונאות IAS 23 שעוסק ב״היוון עלויות אשראי״ (ושאותו תלמדו בהמשך לעומק עם רו״ח רופל) דן בכך</t>
  </si>
  <si>
    <t>בצורה עמוקה. אנחנו צריכים רק להכיר את המנגנון הבסיסי, ולכן סוגי עלויות המימון שידיעתן מחייבת בקורס שלנו</t>
  </si>
  <si>
    <t xml:space="preserve">תהיה בסיסי למדי. </t>
  </si>
  <si>
    <r>
      <t xml:space="preserve">בקצרה: אם נתון לי שאני </t>
    </r>
    <r>
      <rPr>
        <b/>
        <u/>
        <sz val="12"/>
        <color theme="1"/>
        <rFont val="David"/>
        <family val="2"/>
        <charset val="177"/>
      </rPr>
      <t>בונה</t>
    </r>
    <r>
      <rPr>
        <b/>
        <sz val="12"/>
        <color theme="1"/>
        <rFont val="David"/>
        <family val="2"/>
        <charset val="177"/>
      </rPr>
      <t xml:space="preserve"> מכונת נקניק ונוטל הלוואה לטובת זאת - אילו עלויות מימון אשייך לנכס המכונה?</t>
    </r>
  </si>
  <si>
    <t>באופן כללי - לעלויות המימון בהלוואות יש שני רכיבים:</t>
  </si>
  <si>
    <t>ריבית.</t>
  </si>
  <si>
    <t>הפרשי הצמדה (לדולר / למדד המחירים).</t>
  </si>
  <si>
    <r>
      <t xml:space="preserve">בחשבונאות: המטרה </t>
    </r>
    <r>
      <rPr>
        <b/>
        <sz val="12"/>
        <color theme="1"/>
        <rFont val="David"/>
        <family val="2"/>
        <charset val="177"/>
      </rPr>
      <t>איננה</t>
    </r>
    <r>
      <rPr>
        <sz val="12"/>
        <color theme="1"/>
        <rFont val="David"/>
        <family val="2"/>
        <charset val="177"/>
      </rPr>
      <t xml:space="preserve"> לחשב את עלויות המימון </t>
    </r>
    <r>
      <rPr>
        <b/>
        <sz val="12"/>
        <color theme="1"/>
        <rFont val="David"/>
        <family val="2"/>
        <charset val="177"/>
      </rPr>
      <t>במזומן</t>
    </r>
    <r>
      <rPr>
        <sz val="12"/>
        <color theme="1"/>
        <rFont val="David"/>
        <family val="2"/>
        <charset val="177"/>
      </rPr>
      <t xml:space="preserve"> אלא את הצבירה שלהן בתקופת הדיווח. </t>
    </r>
  </si>
  <si>
    <t>למרות שאפשר, מתמטית, לחשב בצורה ישירה כל אחד מרכיבי עלות המימון, הדרך שהיא יעילה הרבה יותר עוברת</t>
  </si>
  <si>
    <r>
      <t>דרך טכניקה שנקראת ״</t>
    </r>
    <r>
      <rPr>
        <b/>
        <sz val="12"/>
        <color rgb="FFFF0000"/>
        <rFont val="David"/>
        <family val="2"/>
        <charset val="177"/>
      </rPr>
      <t>מעגל הלוואות</t>
    </r>
    <r>
      <rPr>
        <b/>
        <sz val="12"/>
        <color theme="1"/>
        <rFont val="David"/>
        <family val="2"/>
        <charset val="177"/>
      </rPr>
      <t>״ (כלי לחישוב עלויות מימון במקרה מורכב, נציג כעת):</t>
    </r>
  </si>
  <si>
    <t>יתרת הפתיחה של ההתחייבות בגין ההלוואה (סך ההתחייבות)</t>
  </si>
  <si>
    <t>+</t>
  </si>
  <si>
    <t>תשלומים שבוצעו בעד ההתחייבות במהלך התקופה</t>
  </si>
  <si>
    <t>(-)</t>
  </si>
  <si>
    <t>עלויות המימון PN</t>
  </si>
  <si>
    <t>יתרת הסגירה של ההתחייבות בגין ההלוואה (סך ההתחייבויות)</t>
  </si>
  <si>
    <t>דוגמא מספרית - עלויות מימון:</t>
  </si>
  <si>
    <t xml:space="preserve">חברת נקניקי הכפר נטלה ב-1/7/2009 הלוואה. </t>
  </si>
  <si>
    <t xml:space="preserve">סכום ההלוואה 3,000 ש״ח. </t>
  </si>
  <si>
    <t xml:space="preserve">ההלוואה צמודה לשער החליפין של הדולר. </t>
  </si>
  <si>
    <t xml:space="preserve">ההלוואה לתקופה של 5 שנים, נושאת ריבית שנתית בשיעור 6% (המחושבת כריבית פשוטה), כאשר הריבית </t>
  </si>
  <si>
    <t xml:space="preserve">משולמת ב-1/7 של כל שנה, כך שתשלום הריבית הראשון הוא ב-1/7/2010. </t>
  </si>
  <si>
    <t xml:space="preserve">קרן ההלוואה תפרע בתשלום אחד ויחיד בתום 5 השנים. </t>
  </si>
  <si>
    <t>להלן נתונים לגבי שער החליפין של הדולר בתאריכים שונים:</t>
  </si>
  <si>
    <t xml:space="preserve">א. חשבו את עלויות המימון לכל אחת מהשנים 2009 ו-2010. </t>
  </si>
  <si>
    <t xml:space="preserve">ב. פצלו את עלויות המימון בשנת 2010 בין המחצית הראשונה של השנה והמחצית השניה של השנה. </t>
  </si>
  <si>
    <t xml:space="preserve">פתרון א -  חשבו את עלויות המימון לכל אחת מהשנים 2009 ו-2010. </t>
  </si>
  <si>
    <t>בשנת 2009, שנת נטילת ההלוואה, יתרת הפתיחה של ההתחייבות היא סכום ההלוואה.</t>
  </si>
  <si>
    <t>בכל שנה לאחר מכן, יתרת הפתיחה תהיה יתרת הסגירה של השנה הקודמת.</t>
  </si>
  <si>
    <t>יתרת התחייבות</t>
  </si>
  <si>
    <t>ההתחייבות</t>
  </si>
  <si>
    <t>נטילת</t>
  </si>
  <si>
    <t>בגין ריבית</t>
  </si>
  <si>
    <t>לפני הצמדה</t>
  </si>
  <si>
    <t>הלוואה</t>
  </si>
  <si>
    <t>הצמדה</t>
  </si>
  <si>
    <t>שנצברה</t>
  </si>
  <si>
    <t>מתאפסת,</t>
  </si>
  <si>
    <t xml:space="preserve">הקרן </t>
  </si>
  <si>
    <t>הצמדה: כופלים בשער</t>
  </si>
  <si>
    <t>הצמדה:</t>
  </si>
  <si>
    <t>נשארת זהה</t>
  </si>
  <si>
    <t>דולר עדכני 3.675</t>
  </si>
  <si>
    <t>חלקי שער דולר בנטילת</t>
  </si>
  <si>
    <t>דולר עדכני 3.925</t>
  </si>
  <si>
    <t>הלוואה: 3.5</t>
  </si>
  <si>
    <t>יתרת התחייבות ״סופית״</t>
  </si>
  <si>
    <t>יתרת התחייבות סופית</t>
  </si>
  <si>
    <t xml:space="preserve">פתרון ב - פצלו את עלויות המימון בשנת 2010 בין המחצית הראשונה של השנה והמחצית השניה של השנה. </t>
  </si>
  <si>
    <t>יתרת הפתיחה של ההתחייבות בגין ההלוואה (סך ההתחייבות) - 1.1.2010</t>
  </si>
  <si>
    <t>תשלומים שבוצעו בעד ההתחייבות במהלך התקופה 1.7.2010 (מחצית 1)</t>
  </si>
  <si>
    <t>עלויות מימון - מחצית ראשונה של 2010</t>
  </si>
  <si>
    <t>יתרת ״סגירה״ ל-1.7.2010</t>
  </si>
  <si>
    <t>תשלומים שבוצעו בעד ההתחייבות 1.7.2010 - 31.12.2010 (מחצית 2)</t>
  </si>
  <si>
    <t>עלויות מימון - מחצית שניה של 2010</t>
  </si>
  <si>
    <t>יתרת סגירה ל-31.12.2010</t>
  </si>
  <si>
    <t>דוגמא מספרית לעבודת כיתה - צריך</t>
  </si>
  <si>
    <t xml:space="preserve">חברת צריך נקניק דחוף בכפר נטלה ב-1/10/2009 הלוואה. </t>
  </si>
  <si>
    <t xml:space="preserve">סכום ההלוואה 10,000 ש״ח. </t>
  </si>
  <si>
    <t xml:space="preserve">ההלוואה לתקופה של 10 שנים, נושאת ריבית שנתית בשיעור 8% (המחושבת כריבית פשוטה), כאשר הריבית </t>
  </si>
  <si>
    <t xml:space="preserve">משולמת ב-1/10 של כל שנה, כך שתשלום הריבית הראשון הוא ב-1/10/2010. </t>
  </si>
  <si>
    <t xml:space="preserve">קרן ההלוואה תפרע בתשלום אחד ויחיד בתום 10 השנים. </t>
  </si>
  <si>
    <t>טיפים:</t>
  </si>
  <si>
    <t xml:space="preserve">א. הציגו את עלויות המימון לכל אחת מהשנים 2009 ו-2010. </t>
  </si>
  <si>
    <t xml:space="preserve">ב. פצלו את עלויות המימון ב-2010 בין המחצית הראשונה של השנה למחצית השניה של השנה. </t>
  </si>
  <si>
    <t>יתרת פתיחה של ההתחייבות - 1/1/2010</t>
  </si>
  <si>
    <t>קחו מיתרת הסגירה של 2009</t>
  </si>
  <si>
    <t>בניכוי תשלומים במחצית הראשונה של 2010</t>
  </si>
  <si>
    <t>זכרו: התשלומים הם תשלומים בפועל, לפי המועד שנקבע בחוזה</t>
  </si>
  <si>
    <t>בתוספת עלויות מימון במחצית הראשונה של 2010 PN</t>
  </si>
  <si>
    <t>מחולץ רק ״בסוף״</t>
  </si>
  <si>
    <t>יתרת סגירה של ההתחייבות 30/6/2010</t>
  </si>
  <si>
    <t>יתרת הקרן שטרם שולמה, בתוספת ריבית שנצברה וטרם שולמה, צמוד לדולר</t>
  </si>
  <si>
    <t>בניכוי תשלומים במחצית השניה של 2010</t>
  </si>
  <si>
    <t>בתוספת עלויות מימון במחצית השניה של 2010 PN</t>
  </si>
  <si>
    <t>יתרת סגירה של ההתחייבות 31/12/2010</t>
  </si>
  <si>
    <t>ב. חישוב שווי מימוש נטו של סוסים על בסיס הכנסות והוצאות</t>
  </si>
  <si>
    <t>תזכורת:</t>
  </si>
  <si>
    <t>כאשר מתקיימים סממנים לירידת ערך, עלינו לחשב סכום בר השבה.</t>
  </si>
  <si>
    <t>סכום בר השבה הוא הגבוה מבין:</t>
  </si>
  <si>
    <t>לבין:</t>
  </si>
  <si>
    <t>שווי הוגן בניכוי עלויות מכירה.</t>
  </si>
  <si>
    <t xml:space="preserve">הערך הנוכחי (מהוון - PV) של תזרימי המזומנים התפעוליים העתידיים הצפויים לנבוע מהנכס. </t>
  </si>
  <si>
    <t>אם בשאלה לא קיימים נתוני תזרימים נטו שניתן להוון אלא נתוני הכנסות והוצאות - יש לחשב את ההפרש ביניהם</t>
  </si>
  <si>
    <t xml:space="preserve">על מנת להגיע לתזרים נטו ולשווי שימוש נטו. </t>
  </si>
  <si>
    <t>לצורך חישוב זה - איננו מנכים מההכנסות את הוצאות המס. הסיבה לכך היא שהטיפול בהיבט המס הוא בנפרד.</t>
  </si>
  <si>
    <t>יישום חישוב שווי שימוש נטו:</t>
  </si>
  <si>
    <t xml:space="preserve">אם נתונים תזרימי המזומנים הצפויים - והם קבועים - אפשר להשתמש בפונקציית PV. </t>
  </si>
  <si>
    <t xml:space="preserve">אם תזרימי המזומנים הצפויים אינם קבועים - יש להשתמש בפונקציית NPV. </t>
  </si>
  <si>
    <t xml:space="preserve">אם לנכס קיים ערך שייר / גרט, אז פרט לתזרימיו השוטפים הצפויים, יש להתייחס גם לגרט כתזרים חיובי. </t>
  </si>
  <si>
    <t>דוגמא מספרית לחישוב שווי מימוש נטו על בסיס נתוני הכנסות והוצאות</t>
  </si>
  <si>
    <t>חברת ״שירה והנקניקים״ בע״מ מעוניינת לחשב את שווי המימוש נטו של מכונה ענקית לחימום נקניק שברשותה,</t>
  </si>
  <si>
    <t>כחלק מהליך חישוב הסכום בר ההשבה, לאור קיומם של סממנים העלולים להעיד על ירידת ערך הנכס.</t>
  </si>
  <si>
    <t>סממנים אלו כללו ביקורת מחלקת תברואה שזיהתה עובדים מחטטים באף במהלך החימום.</t>
  </si>
  <si>
    <t>תזרימים צפויים - ליום 31/12/2010:</t>
  </si>
  <si>
    <t>נכון למועד זה, הנכס צפוי לפעול עוד 5 שנים, ההכנסות השנתיות הצפויות ממנו הן 50,000 לשנה, ההוצאות</t>
  </si>
  <si>
    <t xml:space="preserve">אם התזרימים התפעוליים נטו נתונים והם קבועים - </t>
  </si>
  <si>
    <t>התפעוליות הצפויות 20,000 לשנה, והמס לתשלום 5,000 ש״ח לשנה. כמו כן, נכון למועד זה, לא צפוי לפריט ערך שייר/גרט.</t>
  </si>
  <si>
    <t xml:space="preserve">נהוון אותם ב - PV. </t>
  </si>
  <si>
    <t xml:space="preserve">אם אינם נתונים - נחשב אותם בהתעלם ממס, </t>
  </si>
  <si>
    <t>תזרימים צפויים ליום 31/12/2011:</t>
  </si>
  <si>
    <t xml:space="preserve">ובמידה והם קבועים - נהוון ב - PV. </t>
  </si>
  <si>
    <t>להלן תיאור התזרימים העתידיים נכון למועד זה:</t>
  </si>
  <si>
    <t xml:space="preserve">אם הם משתנים - נהוון ב - NPV. </t>
  </si>
  <si>
    <t>חשוב לזכור: אם קיים ערך שייר / גרט נוסיף אותו</t>
  </si>
  <si>
    <t>הכנסות תפעוליות</t>
  </si>
  <si>
    <t xml:space="preserve">לתזרים התפעולי האחרון. </t>
  </si>
  <si>
    <t>הוצאות תפעוליות</t>
  </si>
  <si>
    <t>הוצאות מס</t>
  </si>
  <si>
    <t>נכון למועד זה, לא צפוי לנכס ערך שייר / גרט.</t>
  </si>
  <si>
    <t>תזרימים צפויים ליום 31/12/2012:</t>
  </si>
  <si>
    <t>תחזית התזרימים הנותרים לא השתנתה, אך צפוי לפריט ערך שייר / גרט בתום חייו (תום 2015) בסך 17,000 ש״ח.</t>
  </si>
  <si>
    <t>בנתונים אלו:</t>
  </si>
  <si>
    <t xml:space="preserve">חשבו את שווי המימוש נטו לתום כל אחת מהשנים 2010, 2011 ו-2012. </t>
  </si>
  <si>
    <t xml:space="preserve">ידוע ששיעור ההיוון של החברה קבוע והנו 5% לשנה. </t>
  </si>
  <si>
    <t xml:space="preserve">שווי מימוש נטו מחושב על בסיס תזרימים תפעוליים (ללא התייחסות לרכיב המס). </t>
  </si>
  <si>
    <t>נתחיל מהתזרים התפעולי הצפוי בעתיד נכון ליום 31/12/2010:</t>
  </si>
  <si>
    <t xml:space="preserve">ההכנסות וההוצאות התפעוליות כאן קבועות (מהמס - נתעלם). </t>
  </si>
  <si>
    <t>סכום התזרים נטו, יהיה, לפיכך:</t>
  </si>
  <si>
    <t>50,000 - 20,000 = 30,000</t>
  </si>
  <si>
    <t xml:space="preserve">pmt = </t>
  </si>
  <si>
    <t>חישוב הערך הנוכחי של התזרימים התפעוליים נטו (כדי להגיע לשווי שימוש נטו כהגדרתו):</t>
  </si>
  <si>
    <t>מחיר ההון / שיעור ההיוון</t>
  </si>
  <si>
    <t>מספר תזרימי המזומנים הקבועים</t>
  </si>
  <si>
    <t xml:space="preserve">nper = </t>
  </si>
  <si>
    <t>תשלום / תקבול תקופתי קבוע</t>
  </si>
  <si>
    <t>תשלום חד פעמי ״נוסף״ בתום העסקה, אם יש</t>
  </si>
  <si>
    <t xml:space="preserve">fv = </t>
  </si>
  <si>
    <t xml:space="preserve">pv = </t>
  </si>
  <si>
    <t>לכן שווי שימוש נטו ליום 31/12/2010 יהיה:</t>
  </si>
  <si>
    <t>בשלב ראשון, נחשב תזרים תפעולי בכל שנה, שהוא ההפרש בין ההכנסות התפעוליות וההוצאות התפעוליות:</t>
  </si>
  <si>
    <t>תזרים תפעולי</t>
  </si>
  <si>
    <t xml:space="preserve">וכעת בשלב שני נחשב את ערכם הנוכחי - הואיל והתזרימים משתנים, ערך נוכחי יחושב עם NPV. </t>
  </si>
  <si>
    <t>מועד</t>
  </si>
  <si>
    <t>תזרימים</t>
  </si>
  <si>
    <t>לכן שווי שימוש נטו ליום 31/12/2011:</t>
  </si>
  <si>
    <r>
      <rPr>
        <sz val="12"/>
        <color theme="0"/>
        <rFont val="David"/>
        <family val="2"/>
        <charset val="177"/>
      </rPr>
      <t>,</t>
    </r>
    <r>
      <rPr>
        <sz val="12"/>
        <color theme="1"/>
        <rFont val="David"/>
        <family val="2"/>
        <charset val="177"/>
      </rPr>
      <t xml:space="preserve">+ 17,000 = </t>
    </r>
  </si>
  <si>
    <t>לכן, שווי שימוש נטו ליום 31/12/2012:</t>
  </si>
  <si>
    <t>דוגמא מספרית - הבמה שלכם - חישוב שווי שימוש נטו במצבים שונים</t>
  </si>
  <si>
    <t xml:space="preserve">אינאס רכשה מפעל גדול לחימום נקניק. </t>
  </si>
  <si>
    <t xml:space="preserve">לאחרונה התבשרה אינאס כי עובדים רבים סובלים מבעיות עיכול בעקבות אכילת הנקניק. </t>
  </si>
  <si>
    <t xml:space="preserve">לדעתה של אינאס, יש מצב שהשתרבבו למכונת החימום כרבולות מקולקלות. </t>
  </si>
  <si>
    <t>כפועל יוצא, נוצר חשד לירידת ערך של המכונה.</t>
  </si>
  <si>
    <t>בבדיקה כלכלית שנערכה בתום כל אחת מהשנים 2020, 2021 ו-2022, עלו הנתונים הבאים:</t>
  </si>
  <si>
    <t>שנת 2020:</t>
  </si>
  <si>
    <t>ההכנסות התפעוליות השנתיות בשנתיים הקרובות הן 60,000 לשנה, לאחר מכן 80,000 לשנה.</t>
  </si>
  <si>
    <t>ההוצאות התפעוליות השנתיות קבועות בסך 40,000 לשנה.</t>
  </si>
  <si>
    <t xml:space="preserve">הנכס יסיים את חייו בתום שנת 2030. </t>
  </si>
  <si>
    <t xml:space="preserve">שיעור המס על הרווח התפעולי 20%. </t>
  </si>
  <si>
    <t>שנת 2021:</t>
  </si>
  <si>
    <t xml:space="preserve">הרווח התפעולי לפני מסים צפוי להיות 30,000 לשנה. </t>
  </si>
  <si>
    <t xml:space="preserve">הנכס צפוי לסיים את חייו בתום שנת 2032. </t>
  </si>
  <si>
    <t xml:space="preserve">לנכס צפוי (לראשונה) ערך שייר / גרט בתום חייו, בסך 15,000. </t>
  </si>
  <si>
    <t>שנת 2022:</t>
  </si>
  <si>
    <t>ההכנסות התפעוליות השנתיות הן 60,000 ש״ח בשנה הבאה והן יקטנו ב-10% בכל שנה</t>
  </si>
  <si>
    <t>ביחס לשנה הקודמת.</t>
  </si>
  <si>
    <t xml:space="preserve">ההוצאות התפעוליות השנתיות הן 40,000 ש״ח בשנה הבאה, והן יגדלו ב-1% לשנה </t>
  </si>
  <si>
    <t>בכל שנה ביחס לשנה הקודמת.</t>
  </si>
  <si>
    <t xml:space="preserve">הנכס צפוי לסיים את חייו בתום שנת 2027. </t>
  </si>
  <si>
    <t>נדרש: בהנחה שמחיר ההון של החברה 4% לשנה, מהו שווי השימוש נטו אותו תעריך החברה בתום כל אחת מהשנים?</t>
  </si>
  <si>
    <t xml:space="preserve">התזרימים משתנים בשלב מסוים, לכן אני אוהב לעבוד עם טור של תזרימים תפעוליים ולהפעיל עליו NPV. </t>
  </si>
  <si>
    <t>כשהתזרים קבוע, אפשר להשתמש ב - PV:</t>
  </si>
  <si>
    <t>מחיר ההון - נתון</t>
  </si>
  <si>
    <t>מספר תזרימי המזומנים העתידיים</t>
  </si>
  <si>
    <t>תזרים שנתי קבוע</t>
  </si>
  <si>
    <t>ערך שייר / גרט = תזרים חד פעמי שמתווסף לתזרים בסוף</t>
  </si>
  <si>
    <t>שווי שימוש נטו (ערך מוחלט):</t>
  </si>
  <si>
    <t>הפרש</t>
  </si>
  <si>
    <t xml:space="preserve">   הקשורה.</t>
  </si>
  <si>
    <t>ככלל: היכולת להוסיף / לשייך</t>
  </si>
  <si>
    <t>עלויות מימון לנכס כגון רכוש קבוע</t>
  </si>
  <si>
    <t>תתקיים רק בתהליך הקמתו</t>
  </si>
  <si>
    <t>לטובת מימון תהליך</t>
  </si>
  <si>
    <t>ההקמה</t>
  </si>
  <si>
    <t>יתרת קרן + הפרשי הצמדה + ריבית לשלם</t>
  </si>
  <si>
    <t>תשלומים (במזומן) שבוצעו בעד ההתחייבות במהלך התקופה</t>
  </si>
  <si>
    <t>תשלומי ריבית ו/או קרן בפועל לפי נתוני ההסדר</t>
  </si>
  <si>
    <t>חילוץ עלויות מימון בתור המשלים של 1+3 ל-2</t>
  </si>
  <si>
    <t>י״פ 1.7.2009</t>
  </si>
  <si>
    <t>תשלומים (-)</t>
  </si>
  <si>
    <t>י״ס 31.12.2009</t>
  </si>
  <si>
    <t>הוצ׳ מימון PN</t>
  </si>
  <si>
    <t xml:space="preserve">(3,000 + 6% / 2 * 3,000) * (3.675/3.5) = </t>
  </si>
  <si>
    <t xml:space="preserve">3,000 * 6% * 3.8/3.5 = </t>
  </si>
  <si>
    <t>י״ס 31.12.2010</t>
  </si>
  <si>
    <t xml:space="preserve">(3,000 + 6%/2 * 3,000) * (3.925/3.5) = </t>
  </si>
  <si>
    <t>פתרון א</t>
  </si>
  <si>
    <t>פתרון ב</t>
  </si>
  <si>
    <t>תשלומים עד 1.7.2010</t>
  </si>
  <si>
    <t>הוצ׳ מימון מחצית 1 2010</t>
  </si>
  <si>
    <t>י״ס 1.7.2010</t>
  </si>
  <si>
    <t>תשלומים מ-1.7 עד 31.12</t>
  </si>
  <si>
    <t>הוצ׳ מימון מחצית 2 2010</t>
  </si>
  <si>
    <t xml:space="preserve">3,000 * 3.8/3.5 = </t>
  </si>
  <si>
    <t>י״פ 1.10.2009</t>
  </si>
  <si>
    <t>תשלומים 1.10.2009-31.12.2009</t>
  </si>
  <si>
    <t>תשלומים 1.1.2010-1.7.2010</t>
  </si>
  <si>
    <t>תשלומים 1.7.2010-31.12.2010</t>
  </si>
  <si>
    <t>הוצאות מימון 2009</t>
  </si>
  <si>
    <t>הוצאות מימון מחצית 1 2010</t>
  </si>
  <si>
    <t>הוצאות מימון מחצית 2 2010</t>
  </si>
  <si>
    <t>בתרגיל המורכב שהצגנו את תשתית פתרונות בשיעור 7, היו 3 סוגיות עיקריות, שצריך להבין לעומק:</t>
  </si>
  <si>
    <t>א. עלויות מימון במקרה מורכב, והקשר שלהן לנכס בהקמה.</t>
  </si>
  <si>
    <t>ב. חישוב שווי שימוש נטו (כחלק מחישוב סכום בר השבה) בהתבסס על תזרימים תפעוליים כדי לבחון ירידת ערך נכסים.</t>
  </si>
  <si>
    <t>ג. סוגיית מסים על ההכנסה.</t>
  </si>
  <si>
    <t xml:space="preserve">במפגש 8 העמקנו והרחבנו בסוגיות א ו-ב. </t>
  </si>
  <si>
    <t>במפגש הזה - נעמיק בסוגיה ג, ונתחיל לעטוף מחדש את הכל ביחד בתרגיל אינטגרטיבי, כדי להשלים את ההטמעה.</t>
  </si>
  <si>
    <t>מה הקטע של מסים על ההכנסה - בהקשר למדידת נכסים בחשבונאות?</t>
  </si>
  <si>
    <t>נניח שבחברה נוצרו הכנסות בסך 500,000 ש״ח.</t>
  </si>
  <si>
    <t>עוד נניח שבחברה קיימת מכונה לחימום נקניק שעלותה 400,000 ש״ח, והחברה מעריכה עבורה אורך חיים שימושיים</t>
  </si>
  <si>
    <t xml:space="preserve">של 4 שנים ללא ערך שייר / גרט. </t>
  </si>
  <si>
    <t>לפי הנחיות רשות המסים (תקנות מס הכנסה - ניכויים בשל פחת) מותרת הפחתת מכונות לחימום נקניק על פני 10 שנים.</t>
  </si>
  <si>
    <t>הניחו ששיעור המס הוא 30%.</t>
  </si>
  <si>
    <t>נדרש 1: הציגו את דוח רווח והפסד בשנה ה-1 וה-2 תוך הנחה שההכנסות קבועות ואין הוצאות נוספות פרט לפחת.</t>
  </si>
  <si>
    <t>הוצאות</t>
  </si>
  <si>
    <t>רווח לפני מס</t>
  </si>
  <si>
    <t>נדרש 2: הציגו את דוח ההתאמה ואת המס השוטף לתשלום בהתחשב בתקנות מס הכנסה.</t>
  </si>
  <si>
    <t>פחת לצורך מס: 40,000 = 10 / 400,000</t>
  </si>
  <si>
    <t>רווח לפני מס - חשבונאי</t>
  </si>
  <si>
    <t>פחת חשבונאי: 100,000 = 4 / 400,000</t>
  </si>
  <si>
    <t>הוסף: הוצאות פחת</t>
  </si>
  <si>
    <t>התאמה - ביטול פחת בסך: 60,000</t>
  </si>
  <si>
    <t>הכנסה חייבת</t>
  </si>
  <si>
    <t>ההתאמה חיובית.</t>
  </si>
  <si>
    <t>מסים שוטפים לפי</t>
  </si>
  <si>
    <t>מס שוטף לתשלום</t>
  </si>
  <si>
    <t>נדרש 3: המשיכו להציג את דוח ההתאמה לכל 10 השנים:</t>
  </si>
  <si>
    <t>ב-4 השנים הראשונות: פחת חשבונאי ״מוגבר״ ביחס למס</t>
  </si>
  <si>
    <t>ב-6 השנים העוקבות - הפחת החשבונאי מסתיים</t>
  </si>
  <si>
    <t>....6</t>
  </si>
  <si>
    <t>הוסף (נכה) הוצאות פחת</t>
  </si>
  <si>
    <t>פחת חשבונאי: 100,000</t>
  </si>
  <si>
    <t>פחת חשבונאי: 0</t>
  </si>
  <si>
    <t>פחת למס: 40,000</t>
  </si>
  <si>
    <t>יש לבטל פחת (התאמה חיובית): 60,000</t>
  </si>
  <si>
    <t>יש לרשום הוצאות פחת נוספות (התאמה שלילית): 40,000</t>
  </si>
  <si>
    <t>ניתן להתרשם מכך שבעוד שבשנים הראשונות מס הכנסה ״דופק אותי״ - מגדיל את ההכנסה החייבת ובהתאם את תשלום המס המתחייב;</t>
  </si>
  <si>
    <t>בשנים העוקבות - מס הכנסה מלטף אותי - מקטין את ההכנסה החייבת ובהתאם מקטין את תשלום המס המתחייב.</t>
  </si>
  <si>
    <t>התפיסה החשבונאית במצב כזה היא להכיר ברכיב המס ״שיוחזר בעתיד״ בדרך של הטבה - בתור נכס מס נדחה.</t>
  </si>
  <si>
    <t>כל זה רק נועד להמחיש את העקרון הבסיסי של מס נדחה - עקרון שלפיו כאשר מס הכנסה לא מכיר בהוצאות, אבל בעתיד הן כן תוכרנה - אזי</t>
  </si>
  <si>
    <t>נוצר נכס שמשקף את ״החזר המס״ או ״הקלת המס״ הצפויה בעתיד.</t>
  </si>
  <si>
    <t>שי, נחמד מצדך להתאמץ להסביר - אבל איך תכל׳ס זה עובד בשאלת רכוש קבוע / ירידת ערך?</t>
  </si>
  <si>
    <t>מנקודת ראות רשות המסים.</t>
  </si>
  <si>
    <t>בהמשך לנתוני ההמחשה הקודמת, הבה נציג את ערך הספרים של הנכס ואת ערכו (עלותו המופחתת) לצורך מס לתום כל שנה:</t>
  </si>
  <si>
    <t>הפרש זמני ניתן לניכוי</t>
  </si>
  <si>
    <t>נכס מס נדחה</t>
  </si>
  <si>
    <t>אז בעצם:</t>
  </si>
  <si>
    <t>כאשר הערך בספרים של נכס נמוך יותר מבסיס המס - וההפרש צפוי להתהפך בעתיד;</t>
  </si>
  <si>
    <t xml:space="preserve">ההפרש בין הערכים נקרא ״הפרש זמני ניתן לניכוי״, </t>
  </si>
  <si>
    <t>ומכפלתו בשיעור המס היא נכס מס נדחה.</t>
  </si>
  <si>
    <t>מיני תרגיל ראשון - השפעות מס וירידת ערך נכסים</t>
  </si>
  <si>
    <t xml:space="preserve">חברת ״שירה והעיניים״ רכשה מכונה לחימום נקניק לעובדי המשרד ב-1.1.2012. </t>
  </si>
  <si>
    <t xml:space="preserve">עלות המכונה: 100,000 ש״ח. </t>
  </si>
  <si>
    <t>תקופת הפחתה חשבונאית ולצרכי מס: 10 שנים.</t>
  </si>
  <si>
    <t>ערך השייר: 0.</t>
  </si>
  <si>
    <t xml:space="preserve">בתאריך 31.12.2013 התגלה קקי קטן במכונה. </t>
  </si>
  <si>
    <t>כפועל יוצא, הזמינה החברה מעריך שווי שציין כי השווי ההוגן בניכוי עלויות מכירה למועד זה הוא 72,000 ש״ח,</t>
  </si>
  <si>
    <t>וכי שווי השימוש נטו הוא 68,000 ש״ח.</t>
  </si>
  <si>
    <t>בתאריך 31.12.2014, התגלה קקי גדול במכונה.</t>
  </si>
  <si>
    <t>כפועל יוצא, הזמינה החברה מעריך שווי שציין כי השווי ההוגן בניכוי עלויות מכירה למועד זה הוא 40,000 ש״ח,</t>
  </si>
  <si>
    <t>וכי שווי השימוש נטו הוא 35,000 ש״ח.</t>
  </si>
  <si>
    <t xml:space="preserve">רשות המסים איננה מכירה בהוצאות / הכנסות הנובעות מרווח / הפסד מעליית ערך / ירידת ערך. </t>
  </si>
  <si>
    <t xml:space="preserve">שיעור המס אליו כפופה החברה הוא 30%, והחברה רווחית. </t>
  </si>
  <si>
    <t>נדרש: הציגו בטבלה את כל ההשפעות המאזניות והתוצאתיות: עלות, פחת נצבר, הפרשה לירידת ערך, רווח / הפסד מעלייה</t>
  </si>
  <si>
    <t>או ירידת ערך, נכס / התחייבות למס נדחה, הוצאות / הכנסות מס נדחה - עד וכולל תום 2015.</t>
  </si>
  <si>
    <t>אחרי בדיקה</t>
  </si>
  <si>
    <t>כשנכס מס נדחה עולה:</t>
  </si>
  <si>
    <t>הכנסות מס נדחה</t>
  </si>
  <si>
    <t>ח׳ נכס מס נדחה</t>
  </si>
  <si>
    <t>הוצאות מס נדחה</t>
  </si>
  <si>
    <t>ז׳ הוצאות מס נדחה / הכנסות מס נדחה</t>
  </si>
  <si>
    <t>טיפול בסוגיית המס:</t>
  </si>
  <si>
    <t>כשנכס מס נדחה יורד:</t>
  </si>
  <si>
    <t>ח׳ הוצאות מס נדחה</t>
  </si>
  <si>
    <t>ערך הספרים</t>
  </si>
  <si>
    <t>ז׳ נכס מס נדחה</t>
  </si>
  <si>
    <t>בסיס המס (*)</t>
  </si>
  <si>
    <t xml:space="preserve">כנתון, רשות המסים איננה מכירה בהפסדים / רווחים מי״ע וע״ע. </t>
  </si>
  <si>
    <t>לכן, רשות המסים תמשיך להכיר בהפחתת הנכס כל שנה בהתאם לעלות (100,000) חלקי תקופת הפחתה (10)</t>
  </si>
  <si>
    <t xml:space="preserve">כך שבכל שנה, בסיס המס יקטן ב-10,000. </t>
  </si>
  <si>
    <t>כאשר ערך הספרים של הנכס גבוה יותר מבסיס המס - הדבר מעיד על הוצאות בספרים שלא הוכרו לצורך מס.</t>
  </si>
  <si>
    <t>במקרה הזה - הפסדים בגין ירידת ערך.</t>
  </si>
  <si>
    <t>אנו מניחים שההפסדים יוכרו בעתיד לצורך מס (מכירות נמוכות ביותר, מכירת הנכס בהפסד) ואז ההפרש ״יתהפך״</t>
  </si>
  <si>
    <t>ונקבל הטבת מס.</t>
  </si>
  <si>
    <t>מסיבה זו, מכירים ״כבר היום״ בנכס מס נדחה.</t>
  </si>
  <si>
    <t>מיני תרגיל שני - השפעות מס וירידת ערך נכסים</t>
  </si>
  <si>
    <t xml:space="preserve">חברת ״שרירנים ושעונים״ בע״מ היא חברה ציבורית המחממת נקניק בהיקפים גבוהים לסיירות בצבא. </t>
  </si>
  <si>
    <t>להלן נתונים בדבר רכש מכונת נקניק שבוצע ב-1.1.2010:</t>
  </si>
  <si>
    <t>עלות המכונה 80,000 ש״ח.</t>
  </si>
  <si>
    <t xml:space="preserve">אורך החיים השימושיים 10 שנים. </t>
  </si>
  <si>
    <t xml:space="preserve">למכונה אין ערך שייר / גרט. </t>
  </si>
  <si>
    <t>לצרכי מס, המכונה מופחתת בשיטת הקו הישר, תוך התעלמות מעלייה / ירידת ערך.</t>
  </si>
  <si>
    <t>ב-31.12.2010 השרירן בטעות חימם למישהו נקניק עם שעון בתוכו והלקוח נחנק. כפועל יוצא הלקוחות החלו להטיל ספק רב</t>
  </si>
  <si>
    <t xml:space="preserve">באמינות השרירן ולכן נדרשת בדיקת הצורך בהפרשה לירידת ערך. </t>
  </si>
  <si>
    <t xml:space="preserve">בדיקת הצורך בהפרשה לירידת ערך - בוצעה כל שנה מחדש: </t>
  </si>
  <si>
    <t>שווי הוגן בניכוי עלויות מכירה</t>
  </si>
  <si>
    <t xml:space="preserve">החברה רווחית וכפופה לשיעור מס של 25%. </t>
  </si>
  <si>
    <t>נדרש: חשבו והציגו את כל ההשפעות המאזניות והתוצאתיות, לרבות לגבי הנכס ומסים נדחים.</t>
  </si>
  <si>
    <t>מסים נדחים:</t>
  </si>
  <si>
    <t>שיעור 8ב - המשך סוגיות מורכבות בירידת ערך ומדידת נכסים - מסים על ההכנסה</t>
  </si>
  <si>
    <t>מס ששולם ״מעבר״ (שנים 1-4) - א׳ ש״ח:</t>
  </si>
  <si>
    <t>זיכוי מס (שנים 5-10) - א׳ ש״ח:</t>
  </si>
  <si>
    <t>התפיסה היא שכדי לחסוך את כל התהליך המורכב לעיל כדי להבין את השפעות המס וזיכויי המס הצפויים, עובדים בכל שנה על ההפרש בין ערך הספרים של הנכס לבין ערכו</t>
  </si>
  <si>
    <t xml:space="preserve">תזכורת: הנכס עלה 400 א׳ ש״ח מופחת על פני 4 שנים לחשבונאות, על פני 10 שנים לצורך מס. </t>
  </si>
  <si>
    <t>לטובת אטיאס הקטנה:</t>
  </si>
  <si>
    <t>עילי:</t>
  </si>
  <si>
    <t>שיעור 9 - ירידת ערך נכסים - Impairment Of Assets</t>
  </si>
  <si>
    <t>מטרת המפגש:</t>
  </si>
  <si>
    <t>תרגול נוסף בנושא ירידת ערך נכסים עם שיטות פחת שונות לנכס נשוא ירידת הערך.</t>
  </si>
  <si>
    <t xml:space="preserve">ככל שיותיר הזמן - הצגת בסיס נושא האירועים לאחר מועד הדוחות הכספיים (בכל מקרה, נושא זה יהיה המרכזי </t>
  </si>
  <si>
    <t>במפגש הבא).</t>
  </si>
  <si>
    <t xml:space="preserve">חברת ״גליונה״ בע״מ (להלן: ״החברה״) היא חברה ציבורית הכפופה להנחיות תקני החשבונאות הבינלאומיים - </t>
  </si>
  <si>
    <t xml:space="preserve">קרי ה - IFRS. </t>
  </si>
  <si>
    <t>בתאריך 1 בינואר 2021 רכשה החברה מכונה לחימום נקניקיות לעובדי המשרד בעלות של 400,000 ש״ח.</t>
  </si>
  <si>
    <t>מחקרים מראים שרכישת מכונה כזו משפרת את תפקוד העובדים באופן ניכר, ותורמת להגדלת ההטבות הכלכליות</t>
  </si>
  <si>
    <t>שעובדים אלו מניבים לחברה.</t>
  </si>
  <si>
    <t>יש לציין שסטודנטים מתלוננים שמכונות לחימום נקניקיות מופיעות בתרגילים רבים מדי, יחד עם זאת זה לא משנה</t>
  </si>
  <si>
    <t xml:space="preserve">ובהחלט תוכלו לדמיין שזו מכונית או חללית. העיקרון יישמר זהה, ולצרכים המתודולוגיים שבהם עסקינן, </t>
  </si>
  <si>
    <t>זה מה שחשוב.</t>
  </si>
  <si>
    <t xml:space="preserve">המכונה לחימום נקניקיות מופחתת להערכת החברה בשיטת סכום ספרות השנים (השבר הפוחת) במשך 10 שנים, </t>
  </si>
  <si>
    <t>ללא ערך שייר. לצרכי מס, מופחתת המכונה על פני 7 שנים בשיטת הקו הישר. החברה מיישמת את מודל העלות למדידת</t>
  </si>
  <si>
    <t xml:space="preserve">פריטי רכוש קבוע שבבעלותה. </t>
  </si>
  <si>
    <t xml:space="preserve">רשות המסים איננה מתירה ואיננה מאפשרת הכרה ברווח / הפסד מעליה / ירידת ערך. </t>
  </si>
  <si>
    <t>לקראת סוף שנת 2023 גילתה החברה כי עובד חימם נקניקיה רקובה בתוך המכונה. כתוצאה מכך הצטברו קוליפורמים</t>
  </si>
  <si>
    <t>צואתיים רבים במכונה עצמה, מה שמעיב על היכולת להשתמש בה. להערכת החברה, מדובר בסממן שלילי מובהק</t>
  </si>
  <si>
    <t xml:space="preserve">לגבי היכולת להניב הטבות כלכליות מהמכונה. </t>
  </si>
  <si>
    <t xml:space="preserve">נכון ליום 31.12.2023, מעריכה החברה כי ניתן למכור את המכונה במצבה הנוכחי AS IS בתמורה ל-150,000 ש״ח </t>
  </si>
  <si>
    <t>או לחילופין להמשיך להשתמש בה, כאשר ההטבות הכלכליות הצפויות בכל שנת חיים נותרת שלה הן בסך 30,000 ש״ח</t>
  </si>
  <si>
    <t xml:space="preserve">ומחיר ההון של החברה הוא 10%. על מנת למכור את המכונה יש לשלם עמלת מימוש בשיעור 20%. </t>
  </si>
  <si>
    <t>במהלך שנת 2024 המשיכה החברה לבצע שימוש במכונה. אף עובד לא חלה ולא התאשפז בגין קלקול קיבה בשנה זו.</t>
  </si>
  <si>
    <t>בהתאם, החברה זימנה שמאי שהערך את מחיר המכירה של המכונה במצבה הנוכחי ב-170,000 ש״ח ללא שינוי</t>
  </si>
  <si>
    <t>בשיעור עמלת המימוש. ההטבות הכלכליות הצפויות בכל שנת חיים נותרת למועד זה הן בסך 15,000 ש״ח לשנה.</t>
  </si>
  <si>
    <t xml:space="preserve">במהלך שנת 2025 המשיכה החברה לבצע שימוש במכונה. בעקבות צו איסור מכירת מכונה נקניק שהעבירה </t>
  </si>
  <si>
    <t>הממשלה החדשה, העריכה החברה שוב את ההטבות הכלכליות הצפויות מהמכונה והן בסך 10,000 ש״ח לכל שנת</t>
  </si>
  <si>
    <t>חיים נותרת של המכונה.</t>
  </si>
  <si>
    <t xml:space="preserve">במהלך שנת 2026 בוטלה החקיקה האוסרת מכירת המכונה, ומחיר מכירתה למועד זה הנו 220,000 ש״ח. בנוסף, </t>
  </si>
  <si>
    <t>נכון למועד זה, לא צפויות עלויות מימוש בעסקה. שווי ההטבות הכלכליות הצפויות מהמכונה, במונחים של ערך נוכחי,</t>
  </si>
  <si>
    <t xml:space="preserve">נמוך ממחיר המכירה נטו. </t>
  </si>
  <si>
    <t>החברה כפופה למסים על ההכנסה בשיעור 25% וצופה הכנסה חייבת גבוהה בעתיד הנראה לעין.</t>
  </si>
  <si>
    <t xml:space="preserve">נדרש: חשבו והציגו את כלל היתרות המאזניות והתוצאתיות בגין הפריט עבור השנים 2021-2026. </t>
  </si>
  <si>
    <t>נסח הפתרון - לאט ובטוח</t>
  </si>
  <si>
    <t>אין סממנים לירידת ערך בשנה זו</t>
  </si>
  <si>
    <t xml:space="preserve">לצרכים חשבונאיים - והדיווח - עלות רכישה 400,000, הפחתה על פני 10 שנים בסכום ספרות שנים, ללא גרט / שייר. </t>
  </si>
  <si>
    <t xml:space="preserve">שימו לב, אמנם נרשם שהפחת לצורך מס מבוסס על 7 שנים בשיטת הקו הישר, אך בתור התחלה, הדיווח והחישוב </t>
  </si>
  <si>
    <t xml:space="preserve">יתבסס על נתוני ההפחתה החשבונאיים בלבד. בנתון ההפחתה לצורך מס נשתמש רק בשלב ייחוס המסים. </t>
  </si>
  <si>
    <t>שיטת סכום ספרות השנים:</t>
  </si>
  <si>
    <t>אורך חיים</t>
  </si>
  <si>
    <t xml:space="preserve">n = </t>
  </si>
  <si>
    <t>סכום ספרות:</t>
  </si>
  <si>
    <t xml:space="preserve">10 * 11 / 2 = </t>
  </si>
  <si>
    <t xml:space="preserve">n * (n + 1) / 2 = </t>
  </si>
  <si>
    <t>אופן יישום ההפחתה - חישוב הוצאות הפחת 2021:</t>
  </si>
  <si>
    <t xml:space="preserve">(400,000 - 0) * (10 / 55) = </t>
  </si>
  <si>
    <t>תזכורת לגבי סכום ספרות יורד - והקצאת ספרה לכל שנה בסדר יורד:</t>
  </si>
  <si>
    <t>רכישה</t>
  </si>
  <si>
    <t>כאשר: 400,000 זוהי העלות, 0 - זהו ערך השייר / הגרט, 10: השנה הראשונה שמקצים בסכום ספרות יורד (זהה</t>
  </si>
  <si>
    <t xml:space="preserve">לאורך החיים, בשנים הבאות נקצה 9, 8 וכו׳), ו-55 הוא סכום הספרות. </t>
  </si>
  <si>
    <t>ספרים / חשבונאות:</t>
  </si>
  <si>
    <t>פחנ״צ</t>
  </si>
  <si>
    <t>נכס מ״נ (ראו חישוב מטה)</t>
  </si>
  <si>
    <t>התחייבות למ״נ</t>
  </si>
  <si>
    <t>כדי לבחון את השפעות המס, עלינו להתרכז באופן מדידת הנכס לצרכי מס:</t>
  </si>
  <si>
    <t>ללא שייר</t>
  </si>
  <si>
    <t>תקופת הפחתה</t>
  </si>
  <si>
    <t>שנים</t>
  </si>
  <si>
    <t>שיטת הפחתה</t>
  </si>
  <si>
    <t>ערך הספרים לצורך מס:</t>
  </si>
  <si>
    <t xml:space="preserve">(400,000 - 0)/7 = </t>
  </si>
  <si>
    <t>בסיס המס של הנכס</t>
  </si>
  <si>
    <t>1.1.2021</t>
  </si>
  <si>
    <t>31.12.2021</t>
  </si>
  <si>
    <t>ה״ז</t>
  </si>
  <si>
    <t>ה״ז נ״ל</t>
  </si>
  <si>
    <t>נכס מ״נ</t>
  </si>
  <si>
    <t>הרחבה: איך יודעים שמדובר בה״ז נ״ל (הפרש זמני ניתן לניכוי) שיוצר נכס מס נדחה?</t>
  </si>
  <si>
    <t>חשוב להבין: כאשר מדובר בנכס, העובדה שערכו בספרים ירד במידה ניכרת (מ-400,000 ל- 327,273) משקפת הוצאות</t>
  </si>
  <si>
    <r>
      <t xml:space="preserve">פחת גבוהות יחסית (כ-72 אלפי ש״ח). </t>
    </r>
    <r>
      <rPr>
        <b/>
        <sz val="12"/>
        <color theme="1"/>
        <rFont val="David"/>
        <family val="2"/>
        <charset val="177"/>
      </rPr>
      <t>אם</t>
    </r>
    <r>
      <rPr>
        <sz val="12"/>
        <color theme="1"/>
        <rFont val="David"/>
        <family val="2"/>
        <charset val="177"/>
      </rPr>
      <t xml:space="preserve"> לא היו פערים בין החשבונאות לרשות המסים, היינו מצפים שגם עבור</t>
    </r>
  </si>
  <si>
    <t>רשות המסים ערך הנכס נטו היה זהה, ובהתאם, הוצאות הפחת היו זהות.</t>
  </si>
  <si>
    <t>עובדתית, רשות המסים לא איפשרה להפחית / להקטין את ערך הנכס בסכום כה משמעותי, אלא בסכום נמוך הרבה</t>
  </si>
  <si>
    <t>יותר, שמשקף קיטון בבסיס המס מ-400,000 ל-342,857. קיטון זה מהווה את ההוצאה לצורך מס (כ-57 אלפי ש״ח).</t>
  </si>
  <si>
    <t>כלומר, רשות המסים מכירה בהוצאות בהיקף נמוך יותר, כתוצאה מכך משלמים מס גבוה יותר בהווה, אך בעתיד</t>
  </si>
  <si>
    <t>כאשר ההוצאה הנוספת תוכר (והיא בהכרח תוכר - כי רשות המסים מפחיתה את כל הנכס לאורך זמן), ההפרש</t>
  </si>
  <si>
    <t>יתהפך ונהנה מהטבת מס, שאנו מכירים בה כבר היום, ולכן - נכס מס נדחה.</t>
  </si>
  <si>
    <t>במקרה הקלאסי:</t>
  </si>
  <si>
    <t>הפרש חיובי בין בסיס המס של נכס לבין ערכו בספרים = הפרש זמני ניתן לניכוי = נכס מס נדחה &gt;&gt;&gt; אנחנו כאן.</t>
  </si>
  <si>
    <t>הפרש שלילי בין בסיס המס של נכס לבין ערכו בספרים = הפרש זמני חייב במס = התחייבות למס נדחה.</t>
  </si>
  <si>
    <r>
      <t xml:space="preserve">בעיקרון, </t>
    </r>
    <r>
      <rPr>
        <u/>
        <sz val="12"/>
        <color theme="1"/>
        <rFont val="David"/>
        <family val="2"/>
        <charset val="177"/>
      </rPr>
      <t>במפגש הקודם</t>
    </r>
    <r>
      <rPr>
        <sz val="12"/>
        <color theme="1"/>
        <rFont val="David"/>
        <family val="2"/>
        <charset val="177"/>
      </rPr>
      <t xml:space="preserve"> הצגנו בגין השפעות מס אלו את הפקודה:</t>
    </r>
  </si>
  <si>
    <t>ח׳ נכס מס נדחה 3,896</t>
  </si>
  <si>
    <t>ז׳ הוצאות מס נדחה 3,896</t>
  </si>
  <si>
    <t>כאשר מציגים יתרות מרוכזות, כדי לא לבלבל אתכם עם ערכים ״שליליים״ של הוצאה, אני רושם זאת כהכנסות מס.</t>
  </si>
  <si>
    <t>הוצ׳ פחת - 2022:</t>
  </si>
  <si>
    <t xml:space="preserve">400,000 * 9/55 = </t>
  </si>
  <si>
    <t>סכום הספרות</t>
  </si>
  <si>
    <t>עלות בניכוי גרט 0</t>
  </si>
  <si>
    <t>הת׳ למ״נ</t>
  </si>
  <si>
    <t>הספרה 9, שנת הפחתה שנייה</t>
  </si>
  <si>
    <t xml:space="preserve">400,000/7 * 2= </t>
  </si>
  <si>
    <t xml:space="preserve">400,000 * 5/7 = </t>
  </si>
  <si>
    <t>31.12.2022</t>
  </si>
  <si>
    <t>ה״ז נ״ל:</t>
  </si>
  <si>
    <t>נכס מ״נ:</t>
  </si>
  <si>
    <t>גידול בנכס מ״נ</t>
  </si>
  <si>
    <t xml:space="preserve">5,974 - 3,896 = </t>
  </si>
  <si>
    <t>ז׳ הוצ׳ מס נדחה / הכנסות מס נדחה</t>
  </si>
  <si>
    <t>שנת 2023:</t>
  </si>
  <si>
    <t>יש סממנים לירידת ערך</t>
  </si>
  <si>
    <t>שאלה שעלתה בדיון כיתתי קשורה למהות קיום הסממן הפוטנציאלי לירידת ערך. מבחינתנו, כל נתון שהוא שניתן</t>
  </si>
  <si>
    <t>לפרש פוטנציאלית ככזה שיש לו השפעה שלילית על ההטבות הצפויות מהפריט, הוא סממן בהגדרה, והוא מוביל ליישום</t>
  </si>
  <si>
    <t xml:space="preserve">מכלול התהליך המתבקש במסגרת IAS 36. </t>
  </si>
  <si>
    <t>תחילה - נחשב הוצאות פחת ״כרגיל״ לשנת 2023:</t>
  </si>
  <si>
    <t xml:space="preserve">400,000 * 8/55 = </t>
  </si>
  <si>
    <t>בהינתן סממנים לירידת ערך, נחשב את הסכום בר ההשבה (סב״ה) הגבוה מבין שווי הוגן בניכוי עלויות מכירה</t>
  </si>
  <si>
    <t>לבין שווי שימוש נטו (תזרימים עתידיים מהוונים במחיר ההון):</t>
  </si>
  <si>
    <t>שווי הוגן בניכוי ע. מכירה - על פי נתוני השאלה:</t>
  </si>
  <si>
    <t>כנתון - תמורת מכירה</t>
  </si>
  <si>
    <t>בניכוי עלויות מכירה:</t>
  </si>
  <si>
    <t xml:space="preserve">20% * 150,000 = </t>
  </si>
  <si>
    <t>נתון: עלויות מכירה הן 20% מהתמורה</t>
  </si>
  <si>
    <t>שווי הוגן בניכוי ע. מכירה:</t>
  </si>
  <si>
    <t>נחשב כעת שווי שימוש נטו:</t>
  </si>
  <si>
    <t>כל שנה - תזרים נטו:</t>
  </si>
  <si>
    <t>שנות חיים שנותרו:</t>
  </si>
  <si>
    <t xml:space="preserve">10 - 3 = </t>
  </si>
  <si>
    <t>אנו בתום 2023, חלפו 3 שנים מתוך 10</t>
  </si>
  <si>
    <t>מחיר ההון:</t>
  </si>
  <si>
    <t>ערך נוכחי:</t>
  </si>
  <si>
    <t>אופן חישוב שווי מימוש נטו pv פורמט מלא:</t>
  </si>
  <si>
    <r>
      <t xml:space="preserve">סב״ה - הגבוה מבין </t>
    </r>
    <r>
      <rPr>
        <sz val="12"/>
        <color rgb="FF00B050"/>
        <rFont val="David"/>
        <family val="2"/>
        <charset val="177"/>
      </rPr>
      <t>שווי שימוש נטו</t>
    </r>
    <r>
      <rPr>
        <sz val="12"/>
        <color theme="1"/>
        <rFont val="David"/>
        <family val="2"/>
        <charset val="177"/>
      </rPr>
      <t xml:space="preserve"> לבין </t>
    </r>
    <r>
      <rPr>
        <sz val="12"/>
        <color rgb="FFFF0000"/>
        <rFont val="David"/>
        <family val="2"/>
        <charset val="177"/>
      </rPr>
      <t>שווי הוגן בניכוי ע. מכירה:</t>
    </r>
  </si>
  <si>
    <t>ערך ספרים טרם בדיקה:</t>
  </si>
  <si>
    <t>ירידת ערך:</t>
  </si>
  <si>
    <t>31.12.2023</t>
  </si>
  <si>
    <t xml:space="preserve">400,000 - (400,000 / 7) * 3 = </t>
  </si>
  <si>
    <t>גידול / עלייה בנכס מס נדחה</t>
  </si>
  <si>
    <t>שנת 2024:</t>
  </si>
  <si>
    <t>בתור התחלה, נבצע מדידה שוטפת (לפני בדיקת עליית הערך ככל שחלה). זכרו, כי הואיל ובשנת 2023 בוצעה</t>
  </si>
  <si>
    <t xml:space="preserve">הפרשה לירידת ערך, הוצאות הפחת תתבססנה על ערך הספרים העדכני לאחר הירידה, ועל יתרת אורך החיים </t>
  </si>
  <si>
    <t>למועד הירידה.</t>
  </si>
  <si>
    <t>כאשר יש צורך לבצע הפחתה של פריט לאחר שינוי מהותי שחל בו (כגון: השבחה, שינוי בשווי בעקבות הערכה מחדש,</t>
  </si>
  <si>
    <t>ירידת ערך לפי IAS 36, שינוי אומדן וכיו״ב), והשיטה המיושמת לצורך הפחתה היא סכום ספרות השנים, יש לחשב</t>
  </si>
  <si>
    <t>סכום ספרות חדש, ולהקצות את הספרות מחדש.</t>
  </si>
  <si>
    <t>שנים שנותרו להפחתה לאחר השינוי ב-31/12/2023:</t>
  </si>
  <si>
    <t xml:space="preserve">n* = n - שנים שחלפו = </t>
  </si>
  <si>
    <t>סכום ספרות חדש:</t>
  </si>
  <si>
    <t xml:space="preserve">7 * 8 / 2 = </t>
  </si>
  <si>
    <t xml:space="preserve">n* x (n* + 1)/2 = </t>
  </si>
  <si>
    <t>הוצאות פחת השנה - 2024:</t>
  </si>
  <si>
    <t xml:space="preserve">146,053 * 7 / 28 = </t>
  </si>
  <si>
    <t>ירידת ערך</t>
  </si>
  <si>
    <t>סכום ספרות חדש</t>
  </si>
  <si>
    <t>גם את ההפחתה של ההפרשה לי״ע נבצע באופן דומה:</t>
  </si>
  <si>
    <t xml:space="preserve">57,584 * 7 / 28 = </t>
  </si>
  <si>
    <t>יתרת הפחת הנצבר לתום 2024 מורכבת מהערכים הבאים:</t>
  </si>
  <si>
    <t>יתרת פתיחה פחת נצבר 31.12.2023</t>
  </si>
  <si>
    <t>הוצאות פחת 2024</t>
  </si>
  <si>
    <t>הפחתת הפרשה לי״ע 2024</t>
  </si>
  <si>
    <t>יתרת סגירה פחת נצבר 31.12.2024</t>
  </si>
  <si>
    <t>כעת, לאור הסממן החיובי (ממשיכים לאכול נקניק בטירוף ללא קלקול קיבה והשפעות בריאותיות):</t>
  </si>
  <si>
    <t>שווי הוגן בניכוי עלויות מכירה בשיעור 20%:</t>
  </si>
  <si>
    <t xml:space="preserve">170,000 * (1 - 20%) = </t>
  </si>
  <si>
    <t>לצורך חישוב שווי שימוש נטו, ניעזר בנתונים הבאים:</t>
  </si>
  <si>
    <t>תמורת מכירה צפויה נתונה</t>
  </si>
  <si>
    <t>תזרים שנתי צפוי:</t>
  </si>
  <si>
    <t>שיעור עמלת מימוש זהה לשנה קודמת: 20%</t>
  </si>
  <si>
    <t>יתרת חיים נכון למועד החישוב:</t>
  </si>
  <si>
    <t xml:space="preserve">10 - 4 = </t>
  </si>
  <si>
    <t>מחיר הון:</t>
  </si>
  <si>
    <t>הסכום בר ההשבה הוא הגבוה מבין שווי הוגן בניכוי עלויות. מכירה לבין שווי שימוש נטו:</t>
  </si>
  <si>
    <t>ערך הספרים לפני הבדיקה:</t>
  </si>
  <si>
    <t>עליית ערך כלכלית:</t>
  </si>
  <si>
    <t>יתרת הפרשה לירידת ערך ערב העלייה:</t>
  </si>
  <si>
    <t xml:space="preserve">הואיל ועליית הערך 26,461 נמוכה מיתרת ההפרשה 43,188 (יתרת ההפרשה היא התקרה להכרה בעלייה) נוכל להכיר בכל עליית </t>
  </si>
  <si>
    <t>הערך כהכנסה ברווח והפסד כנגד הקטנת ההפרשה לירידת ערך:</t>
  </si>
  <si>
    <t>ז׳ רווח מעליית ערך</t>
  </si>
  <si>
    <t>יתרת ההפרשה לירידת ערך ליום 31.12.2024:</t>
  </si>
  <si>
    <t>יתרת הפרשה 31.12.2023</t>
  </si>
  <si>
    <t>הפחתת הפרשה 2024</t>
  </si>
  <si>
    <t>רווח מעליית ערך 2024</t>
  </si>
  <si>
    <t>יתרת הפרשה 31.12.2024</t>
  </si>
  <si>
    <t>31.12.2024</t>
  </si>
  <si>
    <t xml:space="preserve">400,000 * 3/7 = </t>
  </si>
  <si>
    <t>קיטון בנכס המס הנדחה: ״מימוש נכס מס נדחה״</t>
  </si>
  <si>
    <t>לפי ההפרש</t>
  </si>
  <si>
    <t>שנת 2025:</t>
  </si>
  <si>
    <t xml:space="preserve">במהלך שנת 2025 המשיכה החברה לבצע שימוש במכונה. בעקבות צו איסור מכירה של מכונות נקניק שהעבירה </t>
  </si>
  <si>
    <t>תחילה, טרם הבדיקה של הצורך בביצוע הפרשה נוספת לירידת ערך (לאור החוק האוסר מכירה), נבצע חישוב פחת כרגיל.</t>
  </si>
  <si>
    <t>שנות חיים שנותרו לתחילת 2025:</t>
  </si>
  <si>
    <t>2021, 2022, 2023, 2024 ---&gt;</t>
  </si>
  <si>
    <t>חל שינוי בסוף 2024, סכום ספרות חדש:</t>
  </si>
  <si>
    <t xml:space="preserve">6 * 7 / 2  = </t>
  </si>
  <si>
    <t>הוצאות פחת 2025:</t>
  </si>
  <si>
    <t xml:space="preserve">136,000 * 6 / 21 = </t>
  </si>
  <si>
    <t xml:space="preserve">הסבר: הוצאות הפחת ב-2025 חושבו לפי יתרת הנכס לתום 2024, כפול היחס בין הספרה החדשה (6) לסכום ספרות חדש (21). </t>
  </si>
  <si>
    <t>בנוסף, נפחית גם את יתרת ההפרשה לירידת ערך בקצב הפחת:</t>
  </si>
  <si>
    <r>
      <t xml:space="preserve">יתרת ההפרשה לי״ע </t>
    </r>
    <r>
      <rPr>
        <u/>
        <sz val="12"/>
        <color theme="1"/>
        <rFont val="David"/>
        <family val="2"/>
        <charset val="177"/>
      </rPr>
      <t>לתחילת</t>
    </r>
    <r>
      <rPr>
        <sz val="12"/>
        <color theme="1"/>
        <rFont val="David"/>
        <family val="2"/>
        <charset val="177"/>
      </rPr>
      <t xml:space="preserve"> 2025:</t>
    </r>
  </si>
  <si>
    <t>הפחתת הפרשה 2025:</t>
  </si>
  <si>
    <t xml:space="preserve">16,727 * 6 / 21 = </t>
  </si>
  <si>
    <t>יתרת הפרשה לפני בדיקה נוספת:</t>
  </si>
  <si>
    <t>פחת נצבר:</t>
  </si>
  <si>
    <t>לתחילת 2025</t>
  </si>
  <si>
    <t>הוצ׳ פחת 2025</t>
  </si>
  <si>
    <t>הפחתת הפרשה 2025</t>
  </si>
  <si>
    <t>פחנ״צ לפני בדיקה נוספת</t>
  </si>
  <si>
    <t xml:space="preserve">הכוונה: לפני בדיקה נוספת של ירידת ערך </t>
  </si>
  <si>
    <t>הואיל ונאסר על מכירת המכונה, אין משמעות לחשב שווי בניכוי עלויות מכירה.</t>
  </si>
  <si>
    <t>כן נחשב שווי שימוש נטו בהתאם לנתונים המעודכנים בסעיף נכון לתום 2025:</t>
  </si>
  <si>
    <t>יתרת אורך חיים לתום שנת 2025:</t>
  </si>
  <si>
    <t xml:space="preserve">10 - 5 = </t>
  </si>
  <si>
    <t>תזרים צפוי שנתי:</t>
  </si>
  <si>
    <t>שווי שימוש נטו - פונקציית PV:</t>
  </si>
  <si>
    <t xml:space="preserve">שהוא גם סב״ה, כי אין אפשרות למכור. </t>
  </si>
  <si>
    <t>ערך ספרים לפני בדיקת י״ע נוספת:</t>
  </si>
  <si>
    <t xml:space="preserve">89,974 - 37,908 = </t>
  </si>
  <si>
    <t>31.12.2025</t>
  </si>
  <si>
    <t xml:space="preserve">(400,000 / 7) * 2 = </t>
  </si>
  <si>
    <t>פקודת היומן להגדלת נכס המס הנדחה בסכום ההפרש: נכס מ״נ יתרת סגירה ונכס מ״נ י״פ.</t>
  </si>
  <si>
    <t>ז׳ הכנסות מ״נ/הוצ׳ מ״נ</t>
  </si>
  <si>
    <t>שנת 2026:</t>
  </si>
  <si>
    <t>עליית ערך עם תקרה</t>
  </si>
  <si>
    <r>
      <t xml:space="preserve">נתחיל מחישוב </t>
    </r>
    <r>
      <rPr>
        <u/>
        <sz val="12"/>
        <color theme="1"/>
        <rFont val="David"/>
        <family val="2"/>
        <charset val="177"/>
      </rPr>
      <t>הוצאות הפחת לשנת 2026</t>
    </r>
    <r>
      <rPr>
        <sz val="12"/>
        <color theme="1"/>
        <rFont val="David"/>
        <family val="2"/>
        <charset val="177"/>
      </rPr>
      <t>, אשר נשענות על היתרה בספרים למועד השינוי האחרון - 31.12.2025, ויתרת החיים</t>
    </r>
  </si>
  <si>
    <t>למועד השינוי האחרון - 31.12.2025:</t>
  </si>
  <si>
    <t>נכון לתום 2025/תחילת 2026, ערך הספרים:</t>
  </si>
  <si>
    <t>יתרת תקופת הפחתה - בשנים:</t>
  </si>
  <si>
    <t xml:space="preserve">5 * 6 / 2 = </t>
  </si>
  <si>
    <t>הוצ׳ פחת:</t>
  </si>
  <si>
    <t xml:space="preserve">37,908 * 5 / 15 = </t>
  </si>
  <si>
    <t>ערך ספרים אחרון, כפול היחס בין ספרה לסכום ספרות</t>
  </si>
  <si>
    <r>
      <t xml:space="preserve">בנוסף, נבצע הפחתה של </t>
    </r>
    <r>
      <rPr>
        <u/>
        <sz val="12"/>
        <color theme="1"/>
        <rFont val="David"/>
        <family val="2"/>
        <charset val="177"/>
      </rPr>
      <t>יתרת ההפרשה</t>
    </r>
    <r>
      <rPr>
        <sz val="12"/>
        <color theme="1"/>
        <rFont val="David"/>
        <family val="2"/>
        <charset val="177"/>
      </rPr>
      <t xml:space="preserve"> לירידת ערך בקצב הפחת:</t>
    </r>
  </si>
  <si>
    <t>הפחתת הפרשה:</t>
  </si>
  <si>
    <t xml:space="preserve">64,014 * 5 / 15 = </t>
  </si>
  <si>
    <t>יתרת הפרשה:</t>
  </si>
  <si>
    <t xml:space="preserve">64,014 - 21,338 = </t>
  </si>
  <si>
    <t>יתרת פחת נצבר לפני בדיקה נוספת:</t>
  </si>
  <si>
    <t>יתרת פתיחה:</t>
  </si>
  <si>
    <t>הוצאות פחת:</t>
  </si>
  <si>
    <t>יתרת סגירה פחנ״צ:</t>
  </si>
  <si>
    <t>כדי לחשב את הסכום בר ההשבה:</t>
  </si>
  <si>
    <t>מחיר מכירה בניכוי עלויות מכירה:</t>
  </si>
  <si>
    <t>נתון בשאלה שזה מחיר המכירה ואין עלויות מכירה</t>
  </si>
  <si>
    <t>אין נתונים, אך ידוע (בשאלה) שהוא נמוך יותר.</t>
  </si>
  <si>
    <t>לכן סב״ה - הגבוה מביניהם:</t>
  </si>
  <si>
    <t>ערך ספרים עדכני</t>
  </si>
  <si>
    <t xml:space="preserve">220,000 - 25,272 = </t>
  </si>
  <si>
    <t>יתרת הפרשה לירידת ערך למועד זה:</t>
  </si>
  <si>
    <t>נוכל להכיר ברווח מעליית ערך לכל היותר עד לסכום ההפרשה:</t>
  </si>
  <si>
    <t>31.12.2026</t>
  </si>
  <si>
    <t xml:space="preserve">(400,000 / 7) * 1 = </t>
  </si>
  <si>
    <t>ה״ז ח״ב</t>
  </si>
  <si>
    <t>מדוע בשנת 2026 נוצר הפרש זמני חייב במס? מה בכלל זה אומר?</t>
  </si>
  <si>
    <t>רשות המסים איפשרה להפחית את הנכס בהיקף מאד משמעותי, עד 57,143 ש״ח.</t>
  </si>
  <si>
    <t>החשבונאות לעומת זאת רשמה השנה רווח גבוה מעליית ערך, מה שהוביל להצגת הנכס בסכום גבוה</t>
  </si>
  <si>
    <t>יותר של 67,948 ש״ח.</t>
  </si>
  <si>
    <t xml:space="preserve">המשמעות היא שבחשבונאות נרשם רווח שרשות המסים לא ממסה. </t>
  </si>
  <si>
    <t xml:space="preserve">בעתיד - ההפרש יתהפך, ונצטרך לשלם מס בעד עלייה זו. </t>
  </si>
  <si>
    <t>ה״ז ח״ב = הפרש זמני חייב במס.</t>
  </si>
  <si>
    <t xml:space="preserve">הת׳ למ״נ = התחייבות למסים נדחים. </t>
  </si>
  <si>
    <t>ח׳ הוצ׳ מ״נ</t>
  </si>
  <si>
    <t>ז׳ התחייבות למסים נדחים</t>
  </si>
  <si>
    <t>עילי הנקניק 29/5/2025</t>
  </si>
  <si>
    <t>הוצ׳ פחת</t>
  </si>
  <si>
    <t>הפסד לי״ע</t>
  </si>
  <si>
    <t>הכנסות מ״נ</t>
  </si>
  <si>
    <t>הוצאות מ״נ</t>
  </si>
  <si>
    <t>התח׳ מ״נ</t>
  </si>
  <si>
    <t>נייר עזר:</t>
  </si>
  <si>
    <t>ה״ז ניתן לניכוי</t>
  </si>
  <si>
    <t xml:space="preserve">טעות! צ״ל כאן 4,779. זה משפיע על הנגררות בהמשך. דרך הפתרון תקינה בגדול אבל היתה כאן השמטה. </t>
  </si>
  <si>
    <t>מטרות המפגש:</t>
  </si>
  <si>
    <t>א. תרגול נוסף כולל הסבר הדרגתי ומעמיק לגבי הפרשי פחת / שיטות פחת שונות / ירידת ערך נכסים - כולל היבט</t>
  </si>
  <si>
    <t xml:space="preserve">המסים על ההכנסה. </t>
  </si>
  <si>
    <t>ב. סיכום בסיסי של הסוגיות העיקריות שנדונו בקורס לגבי רכוש קבוע, ודיון קצרצר במבנה הבחינה.</t>
  </si>
  <si>
    <t xml:space="preserve">ג. היערכות לבאות - מה עוד נותר וסיומת. </t>
  </si>
  <si>
    <t>תרגיל בנושא ירידת ערך נכסים, מסים ושיטות פחת</t>
  </si>
  <si>
    <t>חברת ״הנקניקים של שלומי״ בע״מ היא חברה מסחרית שניירות הערך שלה נסחרים בבורסה לניירות ערך בתל אביב.</t>
  </si>
  <si>
    <t>החברה כפופה לתקני ה - IFRS - ובפרט, ל-IAS 16 בדבר רכוש קבוע, ל-IAS 36 בדבר ירידת ערך נכסים ול-IAS 12</t>
  </si>
  <si>
    <t xml:space="preserve">בדבר מסים על ההכנסה. </t>
  </si>
  <si>
    <t>להלן נתונים לגבי מכונת נקניק שרכשה החברה בשנת 2020:</t>
  </si>
  <si>
    <t xml:space="preserve">א. המכונה נרכשה ב-1.1.2020. </t>
  </si>
  <si>
    <t>ב. עלות המכונה - 500,000 ש״ח.</t>
  </si>
  <si>
    <t>ג. אורך החיים השימושיים הצפוי למכונה: 15 שנים.</t>
  </si>
  <si>
    <t>ד. ערך השייר / הגרט הצפוי למכונה: 50,000 ש״ח.</t>
  </si>
  <si>
    <t xml:space="preserve">ה. החברה מודדת את מכונת הנקניק לפי בסיס העלות, ומיישמת הפחתה בשיטת סכום ספרות השנים היורד. </t>
  </si>
  <si>
    <t>ו. רשות המסים - בהתאם לתקנות מס הכנסה (ניכויים בשל פחת) מודדת גם היא את הפריט לפי אותם פרמטרים,</t>
  </si>
  <si>
    <t xml:space="preserve">אך מפחיתה בשיטת הקו הישר. כמו כן, רשות המסים איננה מכירה ברווחים / הפסדים הנובעים מירידת ערך </t>
  </si>
  <si>
    <t xml:space="preserve">ו/או עליית ערך. </t>
  </si>
  <si>
    <t>ז. החברה כפופה לשיעור מס חברות בשיעור 23% שצפוי להישאר קבוע. כמו כן החברה רווחית וצופה הכנסה חייבת</t>
  </si>
  <si>
    <t xml:space="preserve">בעתיד. </t>
  </si>
  <si>
    <t>אחרי השינוי</t>
  </si>
  <si>
    <t>נתונים לשנים העוקבות:</t>
  </si>
  <si>
    <t>ח. ב-31.12.2021 יגאל הפיל גללים של סוס על המכונה. כתוצאה מכך, התעורר בחברה חשד שנפגע תפקוד המכונה</t>
  </si>
  <si>
    <t xml:space="preserve">ואיכות התפוקה שהיא מסוגלת לספק. </t>
  </si>
  <si>
    <t>ט. ב-31.12.2022 מעריכה החברה את יתרת אורך החיים של הפריט ב-10 שנים החל מאותו המועד, ללא שינוי</t>
  </si>
  <si>
    <t>בערך השייר ו/או שיטת ההפחתה.</t>
  </si>
  <si>
    <t xml:space="preserve">י. ב-30.6.2025 נמכרה המכונה כאשר בעסקת המכירה נוצר רווח הון בסך 3,000 ש״ח. </t>
  </si>
  <si>
    <t xml:space="preserve">נתונים רלוונטיים </t>
  </si>
  <si>
    <t>החל מהמועד שבו העריכה החברה שייתכן וחלה ירידה בשווי המכונה, היא ביצעה חישוב של סכום בר השבה</t>
  </si>
  <si>
    <t xml:space="preserve">בכל שנה מחדש. </t>
  </si>
  <si>
    <t>רווח הון</t>
  </si>
  <si>
    <t>להלן נתונים רלוונטיים המסייעים בכך. לתשומת הלב, נתוני התזרים התפעולי להלן אינם מתחשבים</t>
  </si>
  <si>
    <t>בערך השייר כתזרים נוסף בתום תקופת החיים של המכונה.</t>
  </si>
  <si>
    <t>אנחנו מחשבים</t>
  </si>
  <si>
    <t>הכנ׳ מס נדחה</t>
  </si>
  <si>
    <t>תזרים שנתי</t>
  </si>
  <si>
    <t>עלויות</t>
  </si>
  <si>
    <t xml:space="preserve">שיעור </t>
  </si>
  <si>
    <t xml:space="preserve">הגבוה </t>
  </si>
  <si>
    <t>הוצ׳ מס נדחה</t>
  </si>
  <si>
    <t>תפעולי צפוי</t>
  </si>
  <si>
    <t>משוער</t>
  </si>
  <si>
    <t>מכירה (%)</t>
  </si>
  <si>
    <t>היוון שנתי</t>
  </si>
  <si>
    <t>נטו</t>
  </si>
  <si>
    <t>בניכוי ע. מ.</t>
  </si>
  <si>
    <t>לא רלוונטי אין חשש לירידת ערך</t>
  </si>
  <si>
    <t xml:space="preserve">נדרש: חשבו והציגו את כל היתרות המאזניות והתוצאתיות לכל אחת מהשנים 2020-2025. </t>
  </si>
  <si>
    <t>לצרכים חשבונאיים (מסים יטופלו בהמשך) - ההפחתה היא בשיטת סכום ספרות השנים היורד.</t>
  </si>
  <si>
    <t>טיפול במסים על ההכנסה:</t>
  </si>
  <si>
    <t>שלביה הם:</t>
  </si>
  <si>
    <t>הטיפול במסים על ההכנסה דורש לחשב את ערך הספרים של הנכס בתום כל תקופה (בוצע)</t>
  </si>
  <si>
    <t>חישוב סכום ספרות השנים</t>
  </si>
  <si>
    <t>וכן את אופן מדידתו לצרכי מס (פשוט יחסית - משום שהמדידה לפי קו ישר, בהתעלמות</t>
  </si>
  <si>
    <t>אורך החיים (בשנים)</t>
  </si>
  <si>
    <t xml:space="preserve">משינויים בשווי ובאורך החיים). רשות המסים מפחיתה לפי קו ישר, 15 שנה, שייר: 50,000. </t>
  </si>
  <si>
    <t>הערך שייוחס לשנת החיים 2020</t>
  </si>
  <si>
    <t>הערך שייוחס לשנת החיים 2021</t>
  </si>
  <si>
    <t xml:space="preserve">n - 1 = </t>
  </si>
  <si>
    <t>הוצאות פחת 2020:</t>
  </si>
  <si>
    <t>(500,000 - 50,000) * 15/120 =</t>
  </si>
  <si>
    <t>הוצאות פחת 2021:</t>
  </si>
  <si>
    <t>(500,000 - 50,000) * 14/120 =</t>
  </si>
  <si>
    <t>ה״ז ניתן לניכ׳</t>
  </si>
  <si>
    <t xml:space="preserve">שימו לב - בשאלה זו אין פירוט של ההכנסות וההוצאות בכל שנה, יש תזרים תפעולי שנתי, </t>
  </si>
  <si>
    <t xml:space="preserve">שבתום כל שנה החברה מערכיה שייוצר מנקודה זו עד לתום החיים השימושיים. </t>
  </si>
  <si>
    <t>בשנת 2022 - לשם חישוב הוצאות הפחת ״לפני שינוי אורך החיים והסב״ה״ נתבסס על ערך</t>
  </si>
  <si>
    <t>הספרים למועד השינוי האחרון 31/12/2021 בתור ״עלות חדשה להפחתה״ ונחשב גם סכום</t>
  </si>
  <si>
    <t>ספרות חדש (והקצאת ספרות חדשה) החל מאותו המועד:</t>
  </si>
  <si>
    <t>נכון לתום 2021:</t>
  </si>
  <si>
    <t>סכום ספרות השנים:</t>
  </si>
  <si>
    <t xml:space="preserve">n * (n + 1) / 2 = 13 * 14 / 2 = </t>
  </si>
  <si>
    <t>הערך שמיוחס לשנת החיים 2022</t>
  </si>
  <si>
    <t>(329,528  - 50,000) * 13/91 =</t>
  </si>
  <si>
    <t>שימו לב, שלא ניתן להמשיך בהקצאת העלות החדשה לפי סכום הספרות הקודם; מדוע?</t>
  </si>
  <si>
    <t>משום שמדובר בנכס ״חדש״ (עבר שינוי מהותי בעקבות ירידת הערך). יתירה מכך, אם</t>
  </si>
  <si>
    <t xml:space="preserve">נמשיך להקצות לפי הספרות הישנות - לא נפחית את כל הנכס. </t>
  </si>
  <si>
    <t>בשנת 2022, נגדיל את הפחת הנצבר בשני ערכים:</t>
  </si>
  <si>
    <t>הפחתת ההפרשה</t>
  </si>
  <si>
    <t xml:space="preserve">61,652 * 13/91 = </t>
  </si>
  <si>
    <t>סך העלייה בפחת הנצבר</t>
  </si>
  <si>
    <t>אז בעצם: כאשר שיטת ההפחתה המיושמת היא סכום הספרות, מעבר לחישוב סכום</t>
  </si>
  <si>
    <t xml:space="preserve">ספרות חדש והקצאת ספרות חדשה, הסכום החדש והספרות החדשות הן בסיס לכל </t>
  </si>
  <si>
    <t>חישובי ההמשך - גם הוצאות פחת וגם הפחתת ההפרשה.</t>
  </si>
  <si>
    <t>נכון לתום 2022:</t>
  </si>
  <si>
    <t xml:space="preserve">נתון בנתוני השאלה הספציפיים שהחל מ-31/12/2022 יתרת החיים היא 10 שנים. </t>
  </si>
  <si>
    <t>לכן, נחשב סכום ספרות מחדש בהתבסס על ערך זה:</t>
  </si>
  <si>
    <t xml:space="preserve">n * (n + 1) / 2 = 10 * 11 / 2 = </t>
  </si>
  <si>
    <t>הספרה לשנת 2023:</t>
  </si>
  <si>
    <t>הוצאות פחת - 2023:</t>
  </si>
  <si>
    <t>(252,000 - 50,000) * 10 / 55 =</t>
  </si>
  <si>
    <t>בשנת 2023 נגדיל את הפחת הנצבר בשני ערכים:</t>
  </si>
  <si>
    <t xml:space="preserve">90,510 * 10/55 = </t>
  </si>
  <si>
    <t>הוצאות פחת 2024:</t>
  </si>
  <si>
    <t>יתרת חיים לתום 2023:</t>
  </si>
  <si>
    <t>סכום ספרות לתום 2023:</t>
  </si>
  <si>
    <t xml:space="preserve">n * (n + 1)/2 = 9 * 10 / 2 = </t>
  </si>
  <si>
    <t>ספרה ל-2024:</t>
  </si>
  <si>
    <t>הוצאות פחת - 2024:</t>
  </si>
  <si>
    <t xml:space="preserve">(276,000 - 50,000) * 9 / 45 = </t>
  </si>
  <si>
    <t>שינוי בפחת הנצבר 2024:</t>
  </si>
  <si>
    <t>הפחתת הפרשה בסכום ספרות - 2024:</t>
  </si>
  <si>
    <t xml:space="preserve">13,326 * 9/45 = </t>
  </si>
  <si>
    <t>יתרת חיים לתום 2024:</t>
  </si>
  <si>
    <t>סכום ספרות לתום 2024:</t>
  </si>
  <si>
    <t xml:space="preserve">n * (n + 1)/2 = 8 * 9 / 2 = </t>
  </si>
  <si>
    <t>ספרה ל-2025:</t>
  </si>
  <si>
    <r>
      <t xml:space="preserve">הוצאות פחת - 2025 - </t>
    </r>
    <r>
      <rPr>
        <b/>
        <sz val="12"/>
        <color theme="1"/>
        <rFont val="David"/>
        <family val="2"/>
        <charset val="177"/>
      </rPr>
      <t>חצי שנה</t>
    </r>
    <r>
      <rPr>
        <sz val="12"/>
        <color theme="1"/>
        <rFont val="David"/>
        <family val="2"/>
        <charset val="177"/>
      </rPr>
      <t>:</t>
    </r>
  </si>
  <si>
    <t xml:space="preserve">(241,461 - 50,000) * 8 / 36 * (6/12)  = </t>
  </si>
  <si>
    <t>תרגיל נוסף כמו ילדים טובים תוכלו ללמוד אותו לקראת המבחן</t>
  </si>
  <si>
    <t>5.6.2023</t>
  </si>
  <si>
    <t>רקע בסיסי:</t>
  </si>
  <si>
    <t xml:space="preserve">דוחות כספיים ערוכים לתקופה ספציפית (הדוח על הרווח הכולל) ולתאריך ספציפי (נכסים והתחייבויות, הון). </t>
  </si>
  <si>
    <t xml:space="preserve">כלומר, הם אמורים לשקף את המצב הכספי ואת תוצאות הפעילות לפרק זמן / נקודת זמן מוגדרת. </t>
  </si>
  <si>
    <t>בפועל - התהליך של יצירת הדוחות הכספיים הוא מורכב יחסית:</t>
  </si>
  <si>
    <t xml:space="preserve">תיעוד עסקאות מלא -  פקודות יומן, ריכוז חשבונות ויתרות. </t>
  </si>
  <si>
    <t xml:space="preserve">התאמות (כגון חשבונות חתך). </t>
  </si>
  <si>
    <t xml:space="preserve">יש להפיק את טיוטת הדוחות הכספיים. </t>
  </si>
  <si>
    <t>הטיוטה עוברת לאישור הדירקטוריון וההנהלה - לאישור פרסום.</t>
  </si>
  <si>
    <t>הדוחות נמסרים לבעלי המניות (בחברה פרטית) ו/או מוגשים לרשות שלטונית מתאימה (חברה ציבורית).</t>
  </si>
  <si>
    <t xml:space="preserve">לכן, חולף פרק זמן בין מועד נכונות הדיווח (למשל 31.12.2021) לבין מועד האישור לפרסום (למשל 15.3.2022). </t>
  </si>
  <si>
    <t>השאלה שבה עוסק התקן היא: ״מה עושים״ / ״איך מסווגים״ / ״האם בכלל מוסיפים״ נתונים בדבר מידע כספי שנוצר</t>
  </si>
  <si>
    <t xml:space="preserve">בין מועדים אלו (בין מועד נכונות הדיווח למועד האישור לפרסום). </t>
  </si>
  <si>
    <t xml:space="preserve">א. אפשרות 1: להתעלם. </t>
  </si>
  <si>
    <t xml:space="preserve">ב. אפשרות 2: נכלול גילוי (ביאור, פירוט נוסף בנספחים, לא בדוח עצמו) בגין המידע, אך לא נתקן את הדיווח. </t>
  </si>
  <si>
    <t xml:space="preserve">ג. אפשרות 3: מתקנים את הדיווח הכספי עצמו. </t>
  </si>
  <si>
    <t xml:space="preserve">כרגע* לא נדון בביקורת רואה החשבון, אלא במבט על - שקשור לתהליך בכללותו. </t>
  </si>
  <si>
    <t>סיכום התקן:</t>
  </si>
  <si>
    <t xml:space="preserve">לא נסכם - התקן קצר וברור יחסית לתקנים אחרים. באתר תמצאו קישור לתקן (בעברית). </t>
  </si>
  <si>
    <t>חובה ללמוד אותו. זה חיוני ועקרוני - המיומנות ללמוד תקנים (במיוחד כאלה שאינם מורכבים מדי) היא חלק בלתי</t>
  </si>
  <si>
    <t>נפרד מהתהליך שאתם צריכים לעבור.</t>
  </si>
  <si>
    <t>ובכל זאת, ולא כתחליף ללימוד התקן, אלא רק רעיונית - התקן מפריד עקרונית בין שני סוגי אירועים:</t>
  </si>
  <si>
    <t>אירוע ״מחייב התאמה״ = אירוע המגלה מידע לגבי פריט שכבר היה קיים למועד הדיווח, אך מוודא / מוסיף נתונים</t>
  </si>
  <si>
    <t>הקשורים אליו. למשל - הדוגמא הכי נפוצה: אם הוגשה תביעה כנגד החברה בדצמבר 2021, אנו היינו סבורים</t>
  </si>
  <si>
    <t>שהתביעה לא תתקבל, אך בפועל ב-1.2.2022 לפני אישור הדיווח - התקבלו נתונים המעידים על כך שהתביעה</t>
  </si>
  <si>
    <t xml:space="preserve">התקבלה ונדרש לשלם לתובע. </t>
  </si>
  <si>
    <t>אירוע לא מחייב התאמה = אירוע חדש, ש״נולד״ לאחר תאריך הדיווח. דוגמאות פשוטות הן למשל כל רכישה או</t>
  </si>
  <si>
    <t xml:space="preserve">מכירה של מלאי לאחר תאריך הדיווח. </t>
  </si>
  <si>
    <t>פעילות השיעור:</t>
  </si>
  <si>
    <t>היישום והתרגול יהיה אינטרקטיבי בשיעור זה. בהצלחה וגוד לאקס. לא יבוצע סיכום כתוב שלו. מוזמנים לצפות</t>
  </si>
  <si>
    <t xml:space="preserve">בשיעור לחזרה במידת הצורך. </t>
  </si>
  <si>
    <t>קישור לחזרה על השאלון:</t>
  </si>
  <si>
    <t>https://quizizz.com/join/quiz/6284c99ce213d0001ddcef6f/start?from=admin&amp;parentGame=6284ecce7f263f001f716807</t>
  </si>
  <si>
    <t>IAS 8</t>
  </si>
  <si>
    <t>12.6.2022</t>
  </si>
  <si>
    <t>חובה ללמוד את התקן המלא מהאתר.</t>
  </si>
  <si>
    <t>יחד עם זאת זהו תקן מעט יותר מורכב מ- IAS 10 ולכן נסכם עיקריו.</t>
  </si>
  <si>
    <t>מושגי יסוד</t>
  </si>
  <si>
    <r>
      <rPr>
        <b/>
        <sz val="12"/>
        <color theme="1"/>
        <rFont val="David"/>
        <family val="2"/>
        <charset val="177"/>
      </rPr>
      <t>מדיניות חשבונאית</t>
    </r>
    <r>
      <rPr>
        <sz val="12"/>
        <color theme="1"/>
        <rFont val="David"/>
        <family val="2"/>
        <charset val="177"/>
      </rPr>
      <t xml:space="preserve"> - מכלול העקרונות המיושמים על ידי ישות - Accounting Policies, בעריכת דוחות והצגתם.</t>
    </r>
  </si>
  <si>
    <t>יכולה להתייחס בין היתר ל:</t>
  </si>
  <si>
    <t>בסיסי המדידה של נכסים והתחייבויות (כגון נדל״ן להשקעה, נכסים פיננסיים, מלאי).</t>
  </si>
  <si>
    <t>כללי ההכרה והגריעה (מדיניות הכרה בהכנסות ובהוצאות).</t>
  </si>
  <si>
    <t xml:space="preserve">מדיניות הצגה של ערכים בדיווח הכספי. </t>
  </si>
  <si>
    <r>
      <rPr>
        <b/>
        <sz val="12"/>
        <color theme="1"/>
        <rFont val="David"/>
        <family val="2"/>
        <charset val="177"/>
      </rPr>
      <t>שינוי באומדן חשבונאי</t>
    </r>
    <r>
      <rPr>
        <sz val="12"/>
        <color theme="1"/>
        <rFont val="David"/>
        <family val="2"/>
        <charset val="177"/>
      </rPr>
      <t xml:space="preserve"> - שינוי ערכים בספרים של נכס / התחייבות / צריכה ו/או שינוי אחר בו הנובע משינוי</t>
    </r>
  </si>
  <si>
    <t>בהערכת דפוס ההטבות והמחויבות העתידית הקשורה בו. הם נובעים ממידע חדש או התפתחות חדשה ואינם</t>
  </si>
  <si>
    <t>מהווים תיקוני טעויות. כגון, שינוי שיטת פחת כתוצאה משינוי דפוס שימוש בנכס. שינוי ערך שייר כתוצאה</t>
  </si>
  <si>
    <t xml:space="preserve">משינוי בסביבה הכלכלית. </t>
  </si>
  <si>
    <r>
      <rPr>
        <b/>
        <sz val="12"/>
        <color theme="1"/>
        <rFont val="David"/>
        <family val="2"/>
        <charset val="177"/>
      </rPr>
      <t>טעויות בתקופות דיווח קודמות</t>
    </r>
    <r>
      <rPr>
        <sz val="12"/>
        <color theme="1"/>
        <rFont val="David"/>
        <family val="2"/>
        <charset val="177"/>
      </rPr>
      <t xml:space="preserve"> - השמטות מדוחות כספיים ו/או הצגות מוטעות בדוחות כספיים של תקופות</t>
    </r>
  </si>
  <si>
    <t>קודמות שניתן היה להמנע מהן שכן נבעו כתוצאה מכשל ביישום מידע זמין או ניתן לאימות וכימות. הטעויות</t>
  </si>
  <si>
    <t>יכולות להיות מכל סוג - טעויות ביישום מדיניות חשבונאית, כתוצאה מהשמטות, פרשנות מוטעית ותרמיות.</t>
  </si>
  <si>
    <r>
      <rPr>
        <b/>
        <sz val="12"/>
        <color theme="1"/>
        <rFont val="David"/>
        <family val="2"/>
        <charset val="177"/>
      </rPr>
      <t>יישום למפרע</t>
    </r>
    <r>
      <rPr>
        <sz val="12"/>
        <color theme="1"/>
        <rFont val="David"/>
        <family val="2"/>
        <charset val="177"/>
      </rPr>
      <t xml:space="preserve"> - תיקון בשל טעות בתקופה קודמת של הכרה, מדידה או גילוי של רכיבי דיווח, כאילו יושמה</t>
    </r>
  </si>
  <si>
    <t>מדיניות זו מאז ומעולם.</t>
  </si>
  <si>
    <r>
      <rPr>
        <b/>
        <sz val="12"/>
        <color theme="1"/>
        <rFont val="David"/>
        <family val="2"/>
        <charset val="177"/>
      </rPr>
      <t>הצגה מחדש</t>
    </r>
    <r>
      <rPr>
        <sz val="12"/>
        <color theme="1"/>
        <rFont val="David"/>
        <family val="2"/>
        <charset val="177"/>
      </rPr>
      <t xml:space="preserve"> - תיקון בשל טעות של ההכרה בתקופה קודמת של ההכרה, המדידה או הגילוי, כאילו לא ארעה</t>
    </r>
  </si>
  <si>
    <t>מעולם טעות בתקופה קודמת.</t>
  </si>
  <si>
    <t>מדיניות חשבונאית</t>
  </si>
  <si>
    <t>תמיד ולעולם, תקן דיווח כספי בינלאומי החל על עסקה גובר בתוקפו על כל הנחיה אחרת לעניין המדיניות</t>
  </si>
  <si>
    <t>החשבונאית.</t>
  </si>
  <si>
    <t>בהיעדר תקן ספציפי החל על עסקה או מצב יש להפעיל שיקול דעת, מתוך מטרה לשמור על רלוונטיות ומהימנות</t>
  </si>
  <si>
    <t>הדיווח. בהקשר למהימנות, צריכים להתקיים הצגה נאמנה, שיקוף מהות כלכלית, נייטרליות ואי הטיה,</t>
  </si>
  <si>
    <t>זהירות ושלמות.</t>
  </si>
  <si>
    <t xml:space="preserve">בין היתר יש להסתייע בדרישות בתקנים דומים ובמסגרת המושגית (לגביה נקיים קורס נפרד). </t>
  </si>
  <si>
    <t>ניתן להתבסס גם על גופי תקינה אחרים (בחשיבות משנית).</t>
  </si>
  <si>
    <t>עקביות במדיניות חשבונאית</t>
  </si>
  <si>
    <t>תחילה - למה צריך אותה בכלל?</t>
  </si>
  <si>
    <t>התשובה פשוטה. אי אפשר להשוות ביצועים ולהעריך מגמות אם התקינה מדברת בשפה שונה ובסיסי מדידה</t>
  </si>
  <si>
    <t xml:space="preserve">שונים, ברמות פירוט שונות ובמכלול ערכים שמשתנה תדיר מדיווח אחד לעוקב לו. </t>
  </si>
  <si>
    <t>שינויים במדיניות חשבונאית - מתי מותר?</t>
  </si>
  <si>
    <t>כאשר נדרש בתקן דיווח כספי בינלאומי או מתבטא בדוחות כספיים המספקים מידע מהימן ויותר רלוונטי.</t>
  </si>
  <si>
    <t>יישום למפרע</t>
  </si>
  <si>
    <t>כאשר שינוי במדיניות חשבונאית שלא מטופל בתקן ספציפי מיושם למפרע יש להתאים את יתרת הפתיחה של כל</t>
  </si>
  <si>
    <t>מרכיב בהון שהושפע מהשינוי לתקופה המוקדמת ביותר המוצגת ואת מספרי ההשוואה האחרים שניתן להם גילוי</t>
  </si>
  <si>
    <t>לכל תקופה מוצגת, כאילו המדיניות החשבונאית החדשה יושמה מאז ומעולם.</t>
  </si>
  <si>
    <t>אם לא ניתן - ״עושים מה שאפשר״ - יש ליישם מדיניות חשבונאית לתקופה המוקדמת ביותר האפשרית.</t>
  </si>
  <si>
    <t>דרישות גילוי</t>
  </si>
  <si>
    <t>יש ללמוד מהתקן. המשמעות העקרונית עוסקת בהבהרת כל המידע המתייחס לשינוי כדי להמנע מההפרעה</t>
  </si>
  <si>
    <t>ואובדן ההשוואתיות הנלווה לשינוי המדיניות.</t>
  </si>
  <si>
    <t>שינויים באומדנים חשבונאיים - הדגמות</t>
  </si>
  <si>
    <r>
      <t xml:space="preserve">חובות רעים - </t>
    </r>
    <r>
      <rPr>
        <b/>
        <sz val="12"/>
        <color theme="1"/>
        <rFont val="David"/>
        <family val="2"/>
        <charset val="177"/>
      </rPr>
      <t>חובות מסופקים</t>
    </r>
    <r>
      <rPr>
        <sz val="12"/>
        <color theme="1"/>
        <rFont val="David"/>
        <family val="2"/>
        <charset val="177"/>
      </rPr>
      <t>.</t>
    </r>
  </si>
  <si>
    <t>התיישנות מלאי.</t>
  </si>
  <si>
    <t>שינויי שווי של נכסים או התחייבויות פיננסיות.</t>
  </si>
  <si>
    <t>אורך חיים שימושיים או דפוס צריכה חזוי של הטבות כלכליות עתידיות.</t>
  </si>
  <si>
    <t>מחויבות בגין אחריות.</t>
  </si>
  <si>
    <t>שינוי אומדן הנובע מנסיבות חדשות שנוצרו ייכלל בתקופת השינוי אם הוא משפיע על תקופה זו בלבד או</t>
  </si>
  <si>
    <t xml:space="preserve">מכאן ולהבא אם משפיע על תקופות עוקבות נוסף לכך. </t>
  </si>
  <si>
    <t>יש לתת גילוי לשינוי שבוצע.</t>
  </si>
  <si>
    <t>טעויות</t>
  </si>
  <si>
    <r>
      <t xml:space="preserve">כוללות הן טעויות מהותיות והן טעויות לא מהותיות, אך כאלו שבוצעו </t>
    </r>
    <r>
      <rPr>
        <u/>
        <sz val="12"/>
        <color theme="1"/>
        <rFont val="David"/>
        <family val="2"/>
        <charset val="177"/>
      </rPr>
      <t>במכוון</t>
    </r>
    <r>
      <rPr>
        <sz val="12"/>
        <color theme="1"/>
        <rFont val="David"/>
        <family val="2"/>
        <charset val="177"/>
      </rPr>
      <t>, על מנת להשיג הצגה מסוימת</t>
    </r>
  </si>
  <si>
    <t xml:space="preserve">של המצב הכספי, תוצאות הפעילות או תזרימי המזומנים של הישות. </t>
  </si>
  <si>
    <t xml:space="preserve">אם מתגלות לפני אישור הדוחות - יש לתקן. אם אינן מתגלות, יש לתקן במידע ההשוואתי. </t>
  </si>
  <si>
    <t>בנוסף, יש להעניק גילוי מלא לטעות - ללמוד מהתקן.</t>
  </si>
  <si>
    <t>ועכשיו - לתרגול אינטרקטיבי</t>
  </si>
  <si>
    <t>לתרגול חוזר ראו כאן:</t>
  </si>
  <si>
    <t>https://quizizz.com/join/quiz/628e03b717f46c001ec5b118/start?from=admin&amp;parentGame=628e284b361cb7001db49a8d</t>
  </si>
  <si>
    <t>IAS 8, IAS 10</t>
  </si>
  <si>
    <r>
      <t xml:space="preserve">התוכן האקדמי של המפגש: תרגול אינטנסיבי - </t>
    </r>
    <r>
      <rPr>
        <b/>
        <u/>
        <sz val="12"/>
        <color rgb="FFFF0000"/>
        <rFont val="David"/>
        <family val="2"/>
        <charset val="177"/>
      </rPr>
      <t>IAS 10</t>
    </r>
    <r>
      <rPr>
        <b/>
        <sz val="12"/>
        <color theme="1"/>
        <rFont val="David"/>
        <family val="2"/>
        <charset val="177"/>
      </rPr>
      <t xml:space="preserve"> VS </t>
    </r>
    <r>
      <rPr>
        <b/>
        <u/>
        <sz val="12"/>
        <color rgb="FF0070C0"/>
        <rFont val="David"/>
        <family val="2"/>
        <charset val="177"/>
      </rPr>
      <t>IAS 8</t>
    </r>
  </si>
  <si>
    <t>מטרתנו בתור התחלה במפגש זה היא לחדד את ההבדל בין התפקיד הבסיסי של שני תקני החשבונאות התיאורטיים הללו:</t>
  </si>
  <si>
    <t xml:space="preserve">התקן IAS 8 שעוסק במדיניות חשבונאית, שינויים באומדנים חשבונאיים וטעויות. </t>
  </si>
  <si>
    <t xml:space="preserve">התקן IAS 10 שעוסק באירועים לאחר מועד הדיווח (ולפני אישור הדוחות הכספיים). </t>
  </si>
  <si>
    <t xml:space="preserve">נתחיל בתקן האהוב ביותר במזרח התיכון - IAS 10. </t>
  </si>
  <si>
    <t>התקן שחל אך ורק בגין מידע שנוצר בין מועד הדיווח (ה-31.12 של שנת הדיווח) לבין מועד האישור לפרסום, עוסק</t>
  </si>
  <si>
    <t>בשני סוגי מידעים, ומסווג אותם בהתאם, על פי זאת נקבע גם אופן הטיפול המתחייב במידע הנ״ל:</t>
  </si>
  <si>
    <t>אירוע מחייב</t>
  </si>
  <si>
    <t>אירועים</t>
  </si>
  <si>
    <t>התאמה</t>
  </si>
  <si>
    <t>שאינם</t>
  </si>
  <si>
    <t>מחייבי</t>
  </si>
  <si>
    <r>
      <rPr>
        <b/>
        <sz val="12"/>
        <color rgb="FFFF0000"/>
        <rFont val="David"/>
        <family val="2"/>
        <charset val="177"/>
      </rPr>
      <t>תיקון</t>
    </r>
    <r>
      <rPr>
        <sz val="12"/>
        <color theme="1"/>
        <rFont val="David"/>
        <family val="2"/>
        <charset val="177"/>
      </rPr>
      <t xml:space="preserve"> הדיווח</t>
    </r>
  </si>
  <si>
    <t>המתייחס אליו</t>
  </si>
  <si>
    <t>אין תיקון</t>
  </si>
  <si>
    <t>גילוי:</t>
  </si>
  <si>
    <t>הענקת מידע</t>
  </si>
  <si>
    <t>מהותי: גילוי</t>
  </si>
  <si>
    <t>לא מהותי:</t>
  </si>
  <si>
    <t xml:space="preserve">מלא למהות </t>
  </si>
  <si>
    <t>אין צורך להתייחס</t>
  </si>
  <si>
    <t>העדכון שבוצע</t>
  </si>
  <si>
    <t xml:space="preserve">אם קיימת </t>
  </si>
  <si>
    <t>לאור אי בהירות שעלתה בכיתה, ברצוננו להבהיר למען הסר ספק:</t>
  </si>
  <si>
    <t>חשיבות במידע</t>
  </si>
  <si>
    <t>כל מנגנון הגילוי למעשה מספק פירוטים וביאורים נוספים, ובתור שכזה</t>
  </si>
  <si>
    <t>נוסף מעבר</t>
  </si>
  <si>
    <t>הוא תורם ו״ענייני״ לגבי אירועים מהותיים, כאלו שההשפעה שלהם</t>
  </si>
  <si>
    <t>לצד המספרי</t>
  </si>
  <si>
    <t xml:space="preserve">לא יכולה להיות מגולמת באופן מלא בערך מספרי יחיד. </t>
  </si>
  <si>
    <t>בעקבות זאת, גם תיקון / התאמה שיש לה השפעה מהותית תקבל ביטוי</t>
  </si>
  <si>
    <t>גם בדרך של גילוי, וגם אירוע שאיננו מחייב התאמה אך בעל משמעות</t>
  </si>
  <si>
    <t xml:space="preserve">מהותית יקבל ביטוי בדרך של גילוי. </t>
  </si>
  <si>
    <r>
      <rPr>
        <b/>
        <sz val="12"/>
        <color theme="1"/>
        <rFont val="David"/>
        <family val="2"/>
        <charset val="177"/>
      </rPr>
      <t>כברירת מחדל</t>
    </r>
    <r>
      <rPr>
        <sz val="12"/>
        <color theme="1"/>
        <rFont val="David"/>
        <family val="2"/>
        <charset val="177"/>
      </rPr>
      <t xml:space="preserve">, ההשפעות של אירועים בשאלות מבחן הן </t>
    </r>
    <r>
      <rPr>
        <u/>
        <sz val="12"/>
        <color theme="1"/>
        <rFont val="David"/>
        <family val="2"/>
        <charset val="177"/>
      </rPr>
      <t>מהותיות</t>
    </r>
    <r>
      <rPr>
        <sz val="12"/>
        <color theme="1"/>
        <rFont val="David"/>
        <family val="2"/>
        <charset val="177"/>
      </rPr>
      <t xml:space="preserve">, אלא אם נאמר אחרת (כגון - זניח, </t>
    </r>
  </si>
  <si>
    <t>בלתי משמעותי או לחילופין מעניקים נתון אחוזי מאד נמוך שמשקף את השפעת העסקה).</t>
  </si>
  <si>
    <t>שאלות מגוונות - IAS 10 - רמת מועצה (שנקל של מועצה)</t>
  </si>
  <si>
    <t>שאלה 1</t>
  </si>
  <si>
    <t>ב-1.4.2021 הגיש לקוח תביעה כנגד חברה. במסגרתה, דרש הלקוח פיצוי בסך 15,000 ש״ח. לטענת החברה, אומדן הפיצוי</t>
  </si>
  <si>
    <t xml:space="preserve">הראוי הוא 9,000 ש״ח. יחד עם זאת, בדוחות הכספיים ליום 31.12.2021 חשב החברה כלל הפרשה (התחייבות) בסך </t>
  </si>
  <si>
    <t>של 15,000 ש״ח מטעמי ״שמרנות״.</t>
  </si>
  <si>
    <t>בית המשפט פסק ב-1.2.2022, טרם אושרו הדוחות הכספיים ליום 31.12.2021 לפרסום, בדבר פיצוי נדרש ללקוח בסך</t>
  </si>
  <si>
    <t xml:space="preserve">של 10,000 ש״ח. </t>
  </si>
  <si>
    <t>נדרש: האם יש לתקן את ההפרשה שרשומה? אם כן, לאיזה סכום? נמקו.</t>
  </si>
  <si>
    <t>פתרון שאלה 1</t>
  </si>
  <si>
    <r>
      <t xml:space="preserve">תחילה: מדובר באירוע </t>
    </r>
    <r>
      <rPr>
        <b/>
        <sz val="12"/>
        <color theme="1"/>
        <rFont val="David"/>
        <family val="2"/>
        <charset val="177"/>
      </rPr>
      <t>מחייב</t>
    </r>
    <r>
      <rPr>
        <sz val="12"/>
        <color theme="1"/>
        <rFont val="David"/>
        <family val="2"/>
        <charset val="177"/>
      </rPr>
      <t xml:space="preserve"> התאמה. </t>
    </r>
  </si>
  <si>
    <t xml:space="preserve">מדוע? משום שמדובר במידע נוסף ש״שופך אור״ על תביעה (אירועים / נסיבות) שהתקיימו טרם מועד הדיווח. </t>
  </si>
  <si>
    <t>התביעה הוגשה לפני מועד הדיווח, ההפרה של החברה שהולידה את התביעה היא לפני מועד הדיווח,</t>
  </si>
  <si>
    <t xml:space="preserve">ולכן גילוי מידע ״חדש״ שרק מספר או משפר את רמת הדיוק של המידע בדבר האירוע ההיסטורי הנ״ל, </t>
  </si>
  <si>
    <t>צריך לקבל ביטוי כאירוע מחייב התאמה.</t>
  </si>
  <si>
    <t xml:space="preserve">כרגע (טרם התיקון) מוצגת ההפרשה לפי ״שמרנות״ בסכום של 15,000 ש״ח. לא מתאים. </t>
  </si>
  <si>
    <t xml:space="preserve">השאלה היא - האם לתקן ל-10,000 (סכום הפסיקה) או ל-9,000 ש״ח (סכום הצפי מצד היועצים המשפטיים </t>
  </si>
  <si>
    <t>טרם הפסיקה) והתשובה: כמובן ל-10,000, זה המידע שמשקף את הנסיבות למועד הדיווח בצורה המדויקת ביותר.</t>
  </si>
  <si>
    <t>בשורה התחתונה: בדוחות הכספיים יש לתקן את ההפרשה לסכום של 10,000 ש״ח. וזה החלק המרכזי בקביעה.</t>
  </si>
  <si>
    <t xml:space="preserve">בהיבט הגילוי: בדרך כלל אנחנו בכל מקרה מעניקים גילוי בדבר תביעות, ושינוי נסיבות התביעה יצריך עדכון בגילוי. </t>
  </si>
  <si>
    <t>ספק הגיש תביעה כנגד החברה. לטענת הספק, ובהתאם לכתב התביעה, צויין כי במהלך ביקורו בחברה לצרכים של גבייה,</t>
  </si>
  <si>
    <t>הוגשה לו נקניקיה. הנקניקיה הרעילה אותו, והובילה למחלה ממושכת ולנזקים גופניים ונפשיים שלוו באובדן הכנסה</t>
  </si>
  <si>
    <t xml:space="preserve">משמעותי מאד מצידו. בנוסף, סבל מגרעפסים של נקניק שהרחיקו הסובבים ממנו למשך חצי שנה. </t>
  </si>
  <si>
    <t>לא נכללה כל השפעה בדיווח הטיוטה של הדוחות הכספיים של החברה ל-31.12.2021 בגין תביעה זו, משום שהיועצים</t>
  </si>
  <si>
    <t xml:space="preserve">מעריכים את הסיכוי של התביעה כקלוש במיוחד. </t>
  </si>
  <si>
    <t xml:space="preserve">ביהמ״ש שקיבל את התביעה לידיו ב-15.2.2021, פסק ב-19.1.2022, טרם אושרו הדוחות הכספיים לשנת 2021, </t>
  </si>
  <si>
    <t>על תשלום פיצוי בגין שטיפת קיבה בסך 7,000 ש״ח.</t>
  </si>
  <si>
    <t xml:space="preserve">החברה טוענת שנעשה לה עוול גדול בבית המשפט, ועל כן, הגישה ערר לבית המשפט העליון. לטענתה, היא תנצח </t>
  </si>
  <si>
    <t xml:space="preserve">בתביעה. ומסיבה זו, לא כללה הפרשה בדוחות הכספיים בגינה. </t>
  </si>
  <si>
    <t>נדרש: האם יש צורך לתקן את הדוחות הכספיים בגין התביעה, האם אי הכללת הפרשה (התחייבות) לתשלום מוצדקת?</t>
  </si>
  <si>
    <t>פתרון שאלה 2</t>
  </si>
  <si>
    <t>האירוע מחייב התאמה, מדובר במידע שנוצר לאחר מועד הדיווח, אך המדייק ומאיר תביעה שנסיבותיה התרחשו</t>
  </si>
  <si>
    <t>לפני מועד הדיווח. יש לכלול הפרשה (התחייבות) בסך 7,000 ש״ח, בהתאם לקביעת בית המשפט. לא ניתן להמנע</t>
  </si>
  <si>
    <r>
      <t>מהכללת ההתחייבות מטעמי ״הגשת ערעור״ (</t>
    </r>
    <r>
      <rPr>
        <u/>
        <sz val="12"/>
        <color theme="1"/>
        <rFont val="David"/>
        <family val="2"/>
        <charset val="177"/>
      </rPr>
      <t>בסמסטר הבא</t>
    </r>
    <r>
      <rPr>
        <sz val="12"/>
        <color theme="1"/>
        <rFont val="David"/>
        <family val="2"/>
        <charset val="177"/>
      </rPr>
      <t xml:space="preserve"> - נלמד במה כן ניתן להכיר בנוסף אם סיכויי הערר גבוהים).</t>
    </r>
  </si>
  <si>
    <t xml:space="preserve">החברה הצהירה בעתונות ובשלטי חוצות על כך שהיא דואגת לסביבה כאינטרס עיקרי ליבתי בפעילות שלה. </t>
  </si>
  <si>
    <t>החברה פעלה שנים ארוכות לטובת העניין. רבים מעובדי החברה אף ציינו בסקרים שונים שנערכו כי בחרו לעבוד</t>
  </si>
  <si>
    <t>בחברה לאור האג׳נדה הירוקה שלה (שמירה על הסביבה).</t>
  </si>
  <si>
    <t>במהלך שנת הדיווח 2022, נאלצה החברה לבצע פעילות שפגעה בסביבה באופן משמעותי. נכון לתום תקופת הדיווח,</t>
  </si>
  <si>
    <t>החברה לא כללה הפרשה (התחייבות) לשיקום נזקי הסביבה, משום שלטענת רואה החשבון של החברה, אין מחויבות</t>
  </si>
  <si>
    <t xml:space="preserve">חוזית כלשהי לבצע את השיקום, ואין שום חקיקה שמחייבת את החברה לעשות כן. </t>
  </si>
  <si>
    <t>אף על פי כן, החברה החליטה ב-15.1.2023 (טרם אושרו דוחות 2022 לפרסום), לבצע את כל הפעילויות הנדרשות לשיקום נזקי הסביבה אשר יצרה.</t>
  </si>
  <si>
    <t>נדרש: האם מדובר באירוע מחייב התאמה לדוחות 2022? בפרט, התייחסו לטענת רואה החשבון, הניחו שהנתונים שהוא מציג נכונים</t>
  </si>
  <si>
    <t xml:space="preserve">במובן זה שאכן אין שום חוק והחברה לא חתומה על שום חוזה בהיבט הדרישה לשיקום הסביבה. </t>
  </si>
  <si>
    <t>פתרון שאלה 3</t>
  </si>
  <si>
    <t>האירוע מחייב התאמה: למרות שאין חקיקה פורמלית או חוזה, החברה יצרה סביבה מערך ציפיות בתפוצה רחבה לשיקום</t>
  </si>
  <si>
    <r>
      <t xml:space="preserve">נזקי הסביבה. מצב כזה מוגדר כמחויבות </t>
    </r>
    <r>
      <rPr>
        <b/>
        <sz val="12"/>
        <color theme="1"/>
        <rFont val="David"/>
        <family val="2"/>
        <charset val="177"/>
      </rPr>
      <t>משתמעת</t>
    </r>
    <r>
      <rPr>
        <sz val="12"/>
        <color theme="1"/>
        <rFont val="David"/>
        <family val="2"/>
        <charset val="177"/>
      </rPr>
      <t>, המוכרת כהתחייבות לכל דבר ועניין. יש להכיר בהתחייבות כבר</t>
    </r>
  </si>
  <si>
    <t xml:space="preserve">בדוחות של 2022. </t>
  </si>
  <si>
    <t>נעבור לתקן הפחות אהוב במזרח התיכון - IAS 8</t>
  </si>
  <si>
    <t xml:space="preserve">התקן עוסק: ב - מדיניות חשבונאית, שינויים באומדנים חשבונאיים וטעויות. </t>
  </si>
  <si>
    <r>
      <t xml:space="preserve">התקן </t>
    </r>
    <r>
      <rPr>
        <b/>
        <sz val="12"/>
        <color theme="1"/>
        <rFont val="David"/>
        <family val="2"/>
        <charset val="177"/>
      </rPr>
      <t>לא דן בחתך הזמנים הצר שבין מועד הדיווח למועד אישור הדוחות</t>
    </r>
    <r>
      <rPr>
        <sz val="12"/>
        <color theme="1"/>
        <rFont val="David"/>
        <family val="2"/>
        <charset val="177"/>
      </rPr>
      <t>, אלא באופן כללי בשינויים שמבצעת החברה</t>
    </r>
  </si>
  <si>
    <t xml:space="preserve">באופן שבו היא מודדת נתונים, גם אם הדיווח בוצע זה מכבר ו/או מדובר בעדכון לדוח שטרם פורסם. </t>
  </si>
  <si>
    <t>במלים אחרות, עיקר המיקוד של IAS 8 הוא במספרי השוואה שמופיעים בדוח בגין תקופות קודמות, ובגין המשמעות</t>
  </si>
  <si>
    <t xml:space="preserve">הנוצרת לערכים שטרם דווחו בכלל. </t>
  </si>
  <si>
    <t>אומדן חשבונאי</t>
  </si>
  <si>
    <t>מכלול הכלים ושיטות הטיפול</t>
  </si>
  <si>
    <t>אומדן הוא נתון או פרמטר</t>
  </si>
  <si>
    <t>מתמטיות</t>
  </si>
  <si>
    <t>המתייחסות למדידת הפריט</t>
  </si>
  <si>
    <t xml:space="preserve">ספציפי שקשור למדידת </t>
  </si>
  <si>
    <t>יישום</t>
  </si>
  <si>
    <t xml:space="preserve">להצגתו ולגילויים בגינו. </t>
  </si>
  <si>
    <t>פריט. שינוי אומדן יחול</t>
  </si>
  <si>
    <t>פרשנות</t>
  </si>
  <si>
    <t xml:space="preserve">כגון: </t>
  </si>
  <si>
    <t>כאשר בעקבות גילוי</t>
  </si>
  <si>
    <t>תרמיות/מכוון</t>
  </si>
  <si>
    <t xml:space="preserve">הערכה מחדש / עלות </t>
  </si>
  <si>
    <t>מידע נוסף הקשור</t>
  </si>
  <si>
    <t>לרכוש קבוע,</t>
  </si>
  <si>
    <t>להערכה מחודשת של</t>
  </si>
  <si>
    <t>ניהול מלאי לפי פיפו או ממוצע,</t>
  </si>
  <si>
    <t>נכס / התחייבות בהיבט</t>
  </si>
  <si>
    <t xml:space="preserve">מדידת נדלן בשווי הוגן </t>
  </si>
  <si>
    <t>צריכת ההטבות הגלומות</t>
  </si>
  <si>
    <t>או בעלות</t>
  </si>
  <si>
    <t>בו או סילוקן.</t>
  </si>
  <si>
    <t>כגון - שינוי תקופת הפחתה</t>
  </si>
  <si>
    <t xml:space="preserve">לרכוש קבוע, </t>
  </si>
  <si>
    <t>שינוי בשווי נכסים</t>
  </si>
  <si>
    <t>נתחיל: כיצד יטופל שינוי מדיניות חשבונאית:</t>
  </si>
  <si>
    <t>&lt;&lt;&lt;משוכת ההצדקה  (אחרת לא ניתן)&gt;&gt;</t>
  </si>
  <si>
    <t>אם השינוי</t>
  </si>
  <si>
    <t>ניתן להצדיק שינוי מדיניות גם שלא על בסיס תקן קיים</t>
  </si>
  <si>
    <t xml:space="preserve">מבוסס על </t>
  </si>
  <si>
    <t>אם שיקול הדעת של החברה מוביל לכך שהמדיניות</t>
  </si>
  <si>
    <t>הנחיות הקיימות</t>
  </si>
  <si>
    <r>
      <t xml:space="preserve">החדשה שתיושם מובילה למידע </t>
    </r>
    <r>
      <rPr>
        <b/>
        <sz val="12"/>
        <color theme="1"/>
        <rFont val="David"/>
        <family val="2"/>
        <charset val="177"/>
      </rPr>
      <t>יותר</t>
    </r>
    <r>
      <rPr>
        <sz val="12"/>
        <color theme="1"/>
        <rFont val="David"/>
        <family val="2"/>
        <charset val="177"/>
      </rPr>
      <t xml:space="preserve"> רלוונטי, ומהימן.</t>
    </r>
  </si>
  <si>
    <t>בתקן חשבונאות</t>
  </si>
  <si>
    <t>ספציפי - תגברנה</t>
  </si>
  <si>
    <t>ההנחיות הספציפיות</t>
  </si>
  <si>
    <t>על כל הכוונה של IAS 8</t>
  </si>
  <si>
    <t>ברירת מחדל:</t>
  </si>
  <si>
    <r>
      <t>יש לבצע ״</t>
    </r>
    <r>
      <rPr>
        <u/>
        <sz val="12"/>
        <color theme="1"/>
        <rFont val="David"/>
        <family val="2"/>
        <charset val="177"/>
      </rPr>
      <t>יישום למפרע</t>
    </r>
    <r>
      <rPr>
        <sz val="12"/>
        <color theme="1"/>
        <rFont val="David"/>
        <family val="2"/>
        <charset val="177"/>
      </rPr>
      <t>״ כלומר לתקן לאחור בדוחות</t>
    </r>
  </si>
  <si>
    <t>וההנחיות לטיפול באופן</t>
  </si>
  <si>
    <t>הכספיים לתקופה שבה בוצע שינוי המדיניות את כל מספרי</t>
  </si>
  <si>
    <t>שינוי המדיניות מצויות</t>
  </si>
  <si>
    <t>ההשוואה, כאילו שינוי המדיניות שבוצע יושם</t>
  </si>
  <si>
    <t>בתקן</t>
  </si>
  <si>
    <t>מאז ומעולם</t>
  </si>
  <si>
    <t>לפי התקן עצמו</t>
  </si>
  <si>
    <t>בכל מקרה: יש לתת גילוי</t>
  </si>
  <si>
    <t>לשינוי המדיניות שבוצע</t>
  </si>
  <si>
    <t>ומה לגבי שינויי אומדן?</t>
  </si>
  <si>
    <t>חובות</t>
  </si>
  <si>
    <t>שינויי שווי</t>
  </si>
  <si>
    <t>רעים</t>
  </si>
  <si>
    <t>מלאי</t>
  </si>
  <si>
    <t>נכסים</t>
  </si>
  <si>
    <t>שיעור הלח״מ</t>
  </si>
  <si>
    <t>תיקון ״מכאן ולהבא״ פרוספקטיבי</t>
  </si>
  <si>
    <t xml:space="preserve">כלומר בשונה משינוי מדיניות, אין לתקן את מספרי ההשוואה לתקופות </t>
  </si>
  <si>
    <t xml:space="preserve">קודמות. </t>
  </si>
  <si>
    <t>טעות של התקופה</t>
  </si>
  <si>
    <t>אם מדובר בטעות של</t>
  </si>
  <si>
    <t>מתוקנת בשוטף</t>
  </si>
  <si>
    <t>תקופה קודמת</t>
  </si>
  <si>
    <t xml:space="preserve">ואם לא תוקנה ממועד הדיווח </t>
  </si>
  <si>
    <t>תתוקן במספרי השוואה</t>
  </si>
  <si>
    <t>עד רגע לפני מועד האישור:</t>
  </si>
  <si>
    <t>ובכל התקופות המושפעות</t>
  </si>
  <si>
    <t>הטיפול לפי IAS 10</t>
  </si>
  <si>
    <t>ממנה - IAS 8</t>
  </si>
  <si>
    <t xml:space="preserve">לאחרונה, נתגלה כי עלויות פיתוח מוצר שהוונו לפני 3 שנים לנכס (בצורה תקינה לפי כללי החשבונאות) לא הופחתו. </t>
  </si>
  <si>
    <t>עלויות אלו היו טעונות הפחתה על פני 3 השנים, אלא שלאור טעויות בקידוד טכני בהנהלת החשבונות ההפחתה הושמטה.</t>
  </si>
  <si>
    <t>א. באיזה סוג אירוע מדובר? שינוי מדיניות / שינוי אומדן / טעות?</t>
  </si>
  <si>
    <t>ב. כיצד יטופל האירוע בהנחה שהתגלה לפני תקופת הדיווח הסופית? כלומר לפני מועד הדיווח של השנה השלישית והאחרונה.</t>
  </si>
  <si>
    <t>פתרון שאלה 4</t>
  </si>
  <si>
    <t>התשובה: מדובר בתיקון טעות. תיקון טעות מטופל בדרך של השפעה על התקופה הרלוונטית לרבות השפעה לאחור בדרך</t>
  </si>
  <si>
    <t xml:space="preserve">של הצגה מחדש של מספרי השוואה (להוציא מקרים שבהם התיקון והשפעותיו ההיסטוריות אינן מעשיות לאמידה - מה </t>
  </si>
  <si>
    <t xml:space="preserve">שלא מתקיים כברירת מחדל). </t>
  </si>
  <si>
    <t xml:space="preserve">חברה שינתה את אופן הטיפול בנכס שנוצר כתוצאה מעלויות מחקר ופיתוח: </t>
  </si>
  <si>
    <t xml:space="preserve">בעבר, הופחתו עלויות אלו על פני 24 חודשים, אך כעת, לאור שינוי קיצוני בדפוס הצריכה הטכנולוגי ששונה מהותית </t>
  </si>
  <si>
    <r>
      <t xml:space="preserve">מהעבר, </t>
    </r>
    <r>
      <rPr>
        <b/>
        <sz val="12"/>
        <color theme="1"/>
        <rFont val="David"/>
        <family val="2"/>
        <charset val="177"/>
      </rPr>
      <t>ומשקף תנאים נפרדים לחלוטין והשפעות שאינן דומות בכלל לאלו שנוצרו בגין הפריט</t>
    </r>
    <r>
      <rPr>
        <sz val="12"/>
        <color theme="1"/>
        <rFont val="David"/>
        <family val="2"/>
        <charset val="177"/>
      </rPr>
      <t xml:space="preserve"> </t>
    </r>
    <r>
      <rPr>
        <b/>
        <sz val="12"/>
        <color theme="1"/>
        <rFont val="David"/>
        <family val="2"/>
        <charset val="177"/>
      </rPr>
      <t>במקור</t>
    </r>
    <r>
      <rPr>
        <sz val="12"/>
        <color theme="1"/>
        <rFont val="David"/>
        <family val="2"/>
        <charset val="177"/>
      </rPr>
      <t>, זקפה החברה</t>
    </r>
  </si>
  <si>
    <t xml:space="preserve">את כל העלויות לדוח רווח והפסד. </t>
  </si>
  <si>
    <t>א. האם הטיפול שביצעה החברה ראוי? הניחו שהנסיבות הכלכליות אכן מצדיקות הכרה בהוצאה.</t>
  </si>
  <si>
    <t>ב. באיזה סוג שינוי מדובר? האם בשינוי מדיניות / בשינוי אומדן / בתיקון טעות?</t>
  </si>
  <si>
    <t>עולה כאן דילמה מאד גדולה ומשמעותית:</t>
  </si>
  <si>
    <t>מצד אחד, באופן עקרוני, כשחל שינוי בתנאים ובנסיבות לגבי דפוס הצריכה של נכסים, הגדרנו זאת בתור שינוי אומדן.</t>
  </si>
  <si>
    <t xml:space="preserve">למשל, כאשר פריט רכוש קבוע צפוי לדעתנו להצרך במשך 3 שנים ולא 4, זהו שינוי אומדן קלאסי. </t>
  </si>
  <si>
    <t>מצד שני, כאן לא דיברו ״סתם״ על קיצור תקופת ההפחתה. כאן אמרו שבעקבות שינוי, כל ה״קונספציה״ ״התפיסה״</t>
  </si>
  <si>
    <t>ה״גישה״ לאופן ההתייחסות לעלויות מחקר ופיתוח השתנתה, וזוקפים אותן מיידית לרווח והפסד (בשונה ממצב</t>
  </si>
  <si>
    <t>שבו זוקפים לנכס שמופחת על פרק זמן שונה). עובדה זו מובילה או דוחפת אותי יותר לכיוון פרשני של שינוי מדיניות.</t>
  </si>
  <si>
    <t>ההכרעה: לא זה ולא זה! לא שינוי מדיניות ולא שינוי אומדן.</t>
  </si>
  <si>
    <t>כדי להבהיר זאת, תחילה נפנה אתכם לקריאת סעיף 16 ב - IAS 8 והוא קובע שכאשר השינוי במהות הפריט הנמדד</t>
  </si>
  <si>
    <t>היא כה גדולה עד כי משתנה לחלוטין המהות של ההטבות הנובעות ממנו (נכס שהופך להוצאות שלא כתוצאה</t>
  </si>
  <si>
    <t>מהחלטה חשבונאית ״מותרת״ לפי תקן, כי נתון שהאופי שבו משרת אותי הנכס שונה לגמרי) - במצב כזה לא נתייחס לשינוי כאל</t>
  </si>
  <si>
    <r>
      <t xml:space="preserve">שינוי מדיניות, אלא כאל </t>
    </r>
    <r>
      <rPr>
        <b/>
        <sz val="12"/>
        <color theme="1"/>
        <rFont val="David"/>
        <family val="2"/>
        <charset val="177"/>
      </rPr>
      <t>יישום מדיניות חשבונאית חדשה</t>
    </r>
    <r>
      <rPr>
        <sz val="12"/>
        <color theme="1"/>
        <rFont val="David"/>
        <family val="2"/>
        <charset val="177"/>
      </rPr>
      <t xml:space="preserve">, ובהתאם לה - IAS 8 לא יחול בכלל. </t>
    </r>
  </si>
  <si>
    <t>שיעור 10 - IAS 8 - מדיניות חשבונאית, שינויים באומדנים חשבונאיים וטעויות</t>
  </si>
  <si>
    <t>שיעור 10b - תרגול תיאוריה אינטנסיבי</t>
  </si>
  <si>
    <t>לחזרה עצמית</t>
  </si>
  <si>
    <t>מפגש 12 - חשבונאות בתנאים ״לא אידאליים״ - היערכות לבחינה ודיון מקדים בהקשרה</t>
  </si>
  <si>
    <r>
      <t xml:space="preserve">הבהרה:תכני מפגש 11 - מה -12.6, שעסקו ביחידה מניבת מזומנים (CGU) - </t>
    </r>
    <r>
      <rPr>
        <b/>
        <u/>
        <sz val="12"/>
        <color theme="1"/>
        <rFont val="David"/>
        <family val="2"/>
        <charset val="177"/>
      </rPr>
      <t>מופיעים באתר בקובץ נפרד</t>
    </r>
    <r>
      <rPr>
        <b/>
        <sz val="12"/>
        <color theme="1"/>
        <rFont val="David"/>
        <family val="2"/>
        <charset val="177"/>
      </rPr>
      <t xml:space="preserve">. </t>
    </r>
  </si>
  <si>
    <t>מטרתנו במפגש זה שמתקיים בתקופה מוזרה, היא פחות לבצע למידה או דיון אינטנסיבי ויותר לייצר בהירות, לגבי</t>
  </si>
  <si>
    <t>הבחינה, המבנה שלה, הדגשים שלה, אופן הלמידה לקראתה, האופן שבו מנקדים אותה (כדי לדעת על מה לשים</t>
  </si>
  <si>
    <t xml:space="preserve">דגש / לא) ובכלל - לייצר לנו איזשהו סט ללמידה שיעזור לנו בהמשך. </t>
  </si>
  <si>
    <t>נתחיל מסקירה משמעותית של כל הסוגיות העיקריות שנדונו (כל מה שנלמד בקורס ו/או כלול בתקנים הרלוונטיים</t>
  </si>
  <si>
    <t xml:space="preserve">מחייב - כדי לדעת במה להתמקד וממה להתחיל). </t>
  </si>
  <si>
    <t xml:space="preserve">לאחר מכן, נייצר את הבסיס למבנה הבחינה וחלוקת הניקוד (טיוטת הבחינה טרם עברה הגבהה ואישור סופי, </t>
  </si>
  <si>
    <t xml:space="preserve">אבל סביר שלא יהיה שינוי משמעותי מאד ביחס למתווה הכללי שנציג). </t>
  </si>
  <si>
    <t>נושא</t>
  </si>
  <si>
    <t>שיעור</t>
  </si>
  <si>
    <t>תכנים עיקריים</t>
  </si>
  <si>
    <t>IAS 16</t>
  </si>
  <si>
    <t>ההגדרות המרכזיות מהתקן לעניין הדיון החשבונאי</t>
  </si>
  <si>
    <t>ברכוש קבוע: מה זה בדיוק רכוש קבוע, מה זה ערך ספרים</t>
  </si>
  <si>
    <t>מול ערכים אחרים שבונים אותו, מה ההבדל בין רכוש</t>
  </si>
  <si>
    <t xml:space="preserve">קבוע לנדל״ן להשקעה, המשמעות של הפסדים מירידת </t>
  </si>
  <si>
    <t>ערך ברמה הכלכלית, עלות רכוש קבוע - לרבות ההשפעה</t>
  </si>
  <si>
    <t>של עלויות נלוות, ועלויות נדחות שמתייחסים אליהן</t>
  </si>
  <si>
    <t>על בסיס ערך נוכחי;</t>
  </si>
  <si>
    <t>ההבדל שבין עלויות שנזקפות לנכס (כגון עלויות השמשה,</t>
  </si>
  <si>
    <t xml:space="preserve">כאלו שהופכות את הנכס לזמין לשימוש) לבין עלויות </t>
  </si>
  <si>
    <t>אחרות שנוצרות לשם השימוש בו ומהוות הוצאה.</t>
  </si>
  <si>
    <t>המשמעות של ערך השייר: זו שאומרת שגם אם שווי הגרט</t>
  </si>
  <si>
    <t>לא נתון, ניתן להסיק אותו על פי נתוני נכסים ״משומשים״</t>
  </si>
  <si>
    <t>דומים. אורך חיים כלכליים (אובייקטיבי) של פריט רכוש</t>
  </si>
  <si>
    <t>קבוע, אל מול אורך חיים שימושיים שמהווה את תקופת</t>
  </si>
  <si>
    <t xml:space="preserve">ההפחתה - והוא יכול להיות בשנים / יחידות. </t>
  </si>
  <si>
    <t xml:space="preserve">השבחה של פריטי רכוש קבוע - מתי עלות עולה לגדר </t>
  </si>
  <si>
    <t>השבחה, ואיך היא משפיעה עקרונית על הפחתת הפריט</t>
  </si>
  <si>
    <t xml:space="preserve">לאחר השבחתו, כולל - מדוע. </t>
  </si>
  <si>
    <t>יש להכיר את מכלול ההגדרות של שיטות הפחת ברמה</t>
  </si>
  <si>
    <t xml:space="preserve">החישובית, ייתכנו שאלות שכוללות חילוץ. </t>
  </si>
  <si>
    <t>החלפת רכיבים בפריטי רכוש קבוע - כולל ההכרה ברכיב</t>
  </si>
  <si>
    <t xml:space="preserve">המתווסף, גריעת הרכיב המוחלף, והשפעה תוצאתית </t>
  </si>
  <si>
    <t>על רווח / הפסד וכן על הוצאות הפחת בתקופות העוקבות.</t>
  </si>
  <si>
    <t>כולל הפחתה של פריטי רכוש קבוע בשיטת הרכיבים.</t>
  </si>
  <si>
    <t xml:space="preserve">2,3 </t>
  </si>
  <si>
    <t>עסקאות החלפה: עסקאות עם מהות מסחרית ושאינן</t>
  </si>
  <si>
    <t>בעלות מהות מסחרית, כמו גם ההקשר לשווי הפריטים</t>
  </si>
  <si>
    <t xml:space="preserve">ומהימנות אומדנם. </t>
  </si>
  <si>
    <t>הערכה מחדש - בסיס, עליות ערך וזקיפתן הראשונית</t>
  </si>
  <si>
    <t>יישום מלא של מודל הערכה מחדש על כלל מגבלותיו:</t>
  </si>
  <si>
    <t xml:space="preserve">זקיפה לקרן הון / רווח כולל אחר לעומת זקיפה לרווח </t>
  </si>
  <si>
    <t xml:space="preserve">והפסד, הכרה בהפרשות, הפחתתן וביטולן וכיו״ב. </t>
  </si>
  <si>
    <t>למעשה, טופלו באופן מפורט רכיבי שאלה מפורטת</t>
  </si>
  <si>
    <t xml:space="preserve">בהערכה מחדש, למעט מימון ומסים. </t>
  </si>
  <si>
    <t>קרן ההערכה מחדש נשארת ״קבועה״ עד מועד השערוך</t>
  </si>
  <si>
    <t xml:space="preserve">הבא / המכירה (במכירה - הקרן עוברת לעודפים). </t>
  </si>
  <si>
    <t>יישום מודל הערכה חדש - במצב שבו קרן ההערכה</t>
  </si>
  <si>
    <t xml:space="preserve">מופחתת לעודפים בקצב הפחת. </t>
  </si>
  <si>
    <t>מעבר לזה, נדונו בדיוק כל אותן סוגי פעילויות ופריטים</t>
  </si>
  <si>
    <t xml:space="preserve">שנדונו במסגרת מפגש 4. </t>
  </si>
  <si>
    <t>IAS 16 
+ 
IAS 36</t>
  </si>
  <si>
    <t>ירידת ערך נכסים - המשמעות שלה, היכולת להכיר בה גם</t>
  </si>
  <si>
    <t>כשהמודל הרלוונטי הוא מודל העלות, משמעות סממנים</t>
  </si>
  <si>
    <t xml:space="preserve">לירידת ערך והצורך בהם כדי לבחון ירידת ערך </t>
  </si>
  <si>
    <t>ההגדרה של סכום בר השבה (סב״ה), תפקידו, וההכרה</t>
  </si>
  <si>
    <t>בירידת ערך כהגדרתה על בסיס הפער מול ערך הספרים</t>
  </si>
  <si>
    <t xml:space="preserve">ערב קיום הסממן, פקודות יומן, שימוש בכל הכלים </t>
  </si>
  <si>
    <t>הרלוונטיים ברמת ה-Excel לטובת שווי שימוש נטו,</t>
  </si>
  <si>
    <t xml:space="preserve">כולל פונקציות PV, NPV. </t>
  </si>
  <si>
    <t xml:space="preserve">הכל ברמת הנכס הבודד. </t>
  </si>
  <si>
    <r>
      <rPr>
        <b/>
        <sz val="12"/>
        <color theme="1"/>
        <rFont val="David"/>
        <family val="2"/>
        <charset val="177"/>
      </rPr>
      <t>מפגש זה חשוב במיוחד</t>
    </r>
    <r>
      <rPr>
        <sz val="12"/>
        <color theme="1"/>
        <rFont val="David"/>
        <family val="2"/>
        <charset val="177"/>
      </rPr>
      <t>: אך המפגש התמקד במצב שבו</t>
    </r>
  </si>
  <si>
    <t>שילוב סוגיות בשאלת רכוש קבוע עם ירידת ערך: מספר</t>
  </si>
  <si>
    <t>מתקני רכוש קבוע באותה שאלה, התייחסות לעלויות</t>
  </si>
  <si>
    <t>הקמה של פריט, חילוץ עלויות מימון ושיוכן לנכס בהתאם,</t>
  </si>
  <si>
    <t xml:space="preserve">הלוואות, ריבית והפרשי הצמדה, ירידות ערך וביטולן - </t>
  </si>
  <si>
    <t>כולל בנייה של תזרים מזומנים תפעולי לצורך תהליך החישוב</t>
  </si>
  <si>
    <t>של שווי השימוש נטו והסכום בר ההשבה.</t>
  </si>
  <si>
    <t xml:space="preserve">ירידות ערך וביטולן. </t>
  </si>
  <si>
    <t>השפעות מס - מסים על ההכנסה, הפרשים זמניים, נכסי</t>
  </si>
  <si>
    <t xml:space="preserve">ו/או התחייבויות מס נדחה. </t>
  </si>
  <si>
    <t>מפגש זה חשוב במיוחד.</t>
  </si>
  <si>
    <t>מפגש זה שבוצע לאחר האתגרים שביטאתם במפגש 7, פירק</t>
  </si>
  <si>
    <t xml:space="preserve">את הסוגיות העיקריות של מפגש 7 לחלקים קטנים. </t>
  </si>
  <si>
    <t>ההמלצה היא: להתחיל ממפגש 7 ולנסות ללמוד אותו היטב.</t>
  </si>
  <si>
    <t xml:space="preserve">אם מצליחים - אפשר לדלג על מפגש 8. </t>
  </si>
  <si>
    <t>לעומת זאת, אם מפגש 7 מרגיש מוגזם, לא מובן, מערבב</t>
  </si>
  <si>
    <t>יותר מדי דברים - התחילו ממפגש 8, למדו על בסיסו</t>
  </si>
  <si>
    <t>כל סוגיה מרכזית בנפרד (היוון עלויות אשראי, הצמדות,</t>
  </si>
  <si>
    <t>מסים, שווי מימוש נטו על בסיס תזרים תפעולי) ואז גשו</t>
  </si>
  <si>
    <t>למפגש 7 כדי לתרגם זאת לשאלה מלאה ברמת בחינה.</t>
  </si>
  <si>
    <t>מפגש 8 חלק א</t>
  </si>
  <si>
    <t>מפגש 8 חלק ב</t>
  </si>
  <si>
    <t>תרגול אינטנסיבי נוסף ברמת מבחן לגבי הסוגיות של מפגש 7,</t>
  </si>
  <si>
    <t>כולל שיטות פחת שונות (סכום ספרות), כולל הפרשים בין</t>
  </si>
  <si>
    <t>רשות המסים לבין החשבונאות שנובעים מסיבות אחרות,</t>
  </si>
  <si>
    <t xml:space="preserve">כלומר בגין הפרשי פחת ולא רק בגין הפרשי ירידת ערך, </t>
  </si>
  <si>
    <t xml:space="preserve">כולל התאוריה של מסים על ההכנסה ברמה הבסיסית, </t>
  </si>
  <si>
    <t>נדרש גם לדעת את פקודות היומן לעניין מסים על ההכנסה.</t>
  </si>
  <si>
    <t>מפגש 9 חלק א</t>
  </si>
  <si>
    <t>מפגש 9 חלק ב</t>
  </si>
  <si>
    <t>IAS 10</t>
  </si>
  <si>
    <t>שיעור 9 חלק ג - IAS 10 - אירועים לאחר תאריך הדיווח הכספי</t>
  </si>
  <si>
    <t>מפגש 9, חלק 3</t>
  </si>
  <si>
    <t>אירועים אחרי תאריך הדיווח כולל תרגול</t>
  </si>
  <si>
    <t>כל ההגדרות: אירוע מחייב התאמה, אירוע לא מחייב התאמה</t>
  </si>
  <si>
    <t>התאריך הרלוונטי שהוא התאריך ה״קובע״ (תאריך אישור הדוחות הכספיים לפרסום)</t>
  </si>
  <si>
    <t>כל סוגי השאלות שהופיעו בקוויזיז - הן פוטנציאל לטענות ששאלות תאוריה</t>
  </si>
  <si>
    <t xml:space="preserve">יצריכו דיון בהן. </t>
  </si>
  <si>
    <t>מפגש 10</t>
  </si>
  <si>
    <t>מדיניות חשבונאית, שינויים באומדנים חשבונאיים וטעויות</t>
  </si>
  <si>
    <t>ההבדל בין שינוי מדיניות (עקרון); אומדן (ערך מספרי מוערך); טעויות</t>
  </si>
  <si>
    <t>המשמעות של יישום למפרע / הצגה מחדש, ומתי נוקטים בו במסגרת</t>
  </si>
  <si>
    <t>התיקונים וההתאמות על פי התקן</t>
  </si>
  <si>
    <t>כולל דוגמאות, הסבר דוגמאות מהתקן ודיון בשאלות סטייל קוויזיז</t>
  </si>
  <si>
    <t>בפורמט מורחב / טענות</t>
  </si>
  <si>
    <t>כולל אפשרות לשאול על סוגיות שלא הדגשנו בתקן, אבל כן נכללות בו</t>
  </si>
  <si>
    <t>לנוחותכם עקרונות ועיקרים ב-IAS 8 וגם IAS 10 ובעיקר מחדד במידה</t>
  </si>
  <si>
    <t>רבה את ההבדל בין התקנים</t>
  </si>
  <si>
    <t>הגיליון שנקרא Lecture 10b הוא גיליון שלא עברנו עליו, אבל הוא מסכם</t>
  </si>
  <si>
    <t>ספציפית הגיליון הנ״ל Lecture 10b - הוא גיליון חשוב מאד להעמקת</t>
  </si>
  <si>
    <t>ההבנה ומעבר מרמה של ״אוקיי, אני מסוגל לפתור קוויזיז״ לרמה של ״יש</t>
  </si>
  <si>
    <t>לי ביטחון לגשת לבחינה״.</t>
  </si>
  <si>
    <t>IAS 36
CGU</t>
  </si>
  <si>
    <t>מפגש 11</t>
  </si>
  <si>
    <t xml:space="preserve">יחידה מניבת מזומנים. </t>
  </si>
  <si>
    <t>שני דגשים עיקריים: ברמת ההבחנה התיאורטית - מתי בכלל מתקיימת</t>
  </si>
  <si>
    <t xml:space="preserve">ערך ישירות לנכסים הבודדים, אלא אם כן ״אין ברירה״ כי הנכסים </t>
  </si>
  <si>
    <t>הבודדים פשוט לא מסוגלים להפיק מזומן בעצמם, אוטונומית).</t>
  </si>
  <si>
    <t>יחידה מניבת מזומנים (בעיקרון, הנטיה של התקן היא לשייך ירידות</t>
  </si>
  <si>
    <t>פתרון כמותי של כל הסוגיות שהוצגו - רק ברמת השאלות שפתרנו יחד</t>
  </si>
  <si>
    <t xml:space="preserve">והגענו אליהן. </t>
  </si>
  <si>
    <t>פירוט תכנים עיקריים במבחן כולל אינדקס התאמה למפגשי הקורס</t>
  </si>
  <si>
    <t>בחינת הגמר בקורס מורכבת מ-2 חלקים.</t>
  </si>
  <si>
    <t xml:space="preserve">משך כל חלק: שעתיים (אלו שזכאים להקלות / התאמות בלמידה - מקבלים עוד 25% בדרך כלל, שזה אומר שעתיים וחצי).  </t>
  </si>
  <si>
    <t xml:space="preserve">הפסקה בין החלקים: 45 דקות (מה שאומר שמי שזכא/ית לתוספת של 30 דקות - יהנו מהפסקה של 15 דקות). </t>
  </si>
  <si>
    <t>הבחינה מתקיימת - על גבי מחשב, בקמפוס (יחיינו ויזכנו) - על המחשבים שלכם - נשלחה לכם תוכנה להתנסות, ודאו שהכל סבבה.</t>
  </si>
  <si>
    <t>חומרי עזר:</t>
  </si>
  <si>
    <t>כל תקן חשבונאות ללא תוספות כתובות כלשהן מטעמכם -  מותר בשימוש - מותר להשתמש בדגלונים וכן מותר למרקר את התקנים, ספציפית תקני החשבונאות שלנו:</t>
  </si>
  <si>
    <t>הערה: אמנם היה יישום של מסים על ההכנסה בתוך IAS 36, יחד עם זאת, היישום הוא מאד ספציפי ובהתאם לנלמד בלבד (כי הקורס לא כולל את תכני IAS 12 כנושא בפני עצמו)</t>
  </si>
  <si>
    <t xml:space="preserve">לכן באופן אישי כדי לא להתבלבל, אין צורך להביא את IAS 12. </t>
  </si>
  <si>
    <t>IAS 16,  IAS 8, IAS 10, IAS 36</t>
  </si>
  <si>
    <r>
      <rPr>
        <b/>
        <sz val="12"/>
        <color theme="1"/>
        <rFont val="David"/>
        <family val="2"/>
        <charset val="177"/>
      </rPr>
      <t>את כל הבחינה פותרים ב-Excel.</t>
    </r>
    <r>
      <rPr>
        <sz val="12"/>
        <color theme="1"/>
        <rFont val="David"/>
        <family val="2"/>
        <charset val="177"/>
      </rPr>
      <t xml:space="preserve"> שימו לב היטב להנחיות הטכניות (אין שמירה אוטומטית...). סטייה מההנחיות לא תאפשר בדיקה. </t>
    </r>
  </si>
  <si>
    <t>אופן פתרון השאלות בבחינה:</t>
  </si>
  <si>
    <t xml:space="preserve">השאלות דורשות הצגה מאזנית ותוצאתית של הפריטים הרלוונטיים בדיווח. </t>
  </si>
  <si>
    <t xml:space="preserve">ניתן ליישם את אופן ההצגה שהוצג בכל המפגשים שלנו (הרצאות) ו/או לחילופין את אופן ההצגה של רו״ח אטיאס הגדול. </t>
  </si>
  <si>
    <t xml:space="preserve">לנו זה פחות משנה - העיקר שהערכים הנדרשים יוצגו בצורה ברורה, ובאופן שבו הנוסחה (בתוך התאים) או תהליך העבודה (מחוץ לתאים) יאפשר לעקוב אחר תהליך העבודה הרלוונטי כדי לקבל ניקוד על הדרך. </t>
  </si>
  <si>
    <t xml:space="preserve">לגבי פקודות יומן - צריך לדעת, אבל נשאל עליהן באופן ספציפי, וכל שאלה במבחן לגביה אין דרישה להצגת פקודות יומן - תזכה בניקוד מלא גם בלעדיהן. </t>
  </si>
  <si>
    <t>הצצה למבחן:</t>
  </si>
  <si>
    <t>מבנה עקרוני של תמהיל השאלות בבחינה - ייתכנו הבדלים לא גדולים עד אישור השאלון המלא</t>
  </si>
  <si>
    <t>חלק א</t>
  </si>
  <si>
    <t>שאלה</t>
  </si>
  <si>
    <t>חלק ב</t>
  </si>
  <si>
    <t>משקל משוער</t>
  </si>
  <si>
    <t xml:space="preserve">רכוש קבוע - מודל העלות - מכלול סוגיות </t>
  </si>
  <si>
    <t>הבסיס - בין היתר (אבל לא רק) - אופן</t>
  </si>
  <si>
    <t>קביעת העלות, השבחות ושינויים, רכיבים</t>
  </si>
  <si>
    <t xml:space="preserve">ועסקאות החלפה, מכירות ושיטות פחת </t>
  </si>
  <si>
    <t>שונות וכיו״ב. ללא סוגיות הערכה מחדש/</t>
  </si>
  <si>
    <t>ירידות ערך / מסים</t>
  </si>
  <si>
    <t xml:space="preserve">רכוש קבוע - שאלת הערכה מחדש - ללא </t>
  </si>
  <si>
    <t xml:space="preserve">מסים. כולל עליות ערך, ירידות ערך, </t>
  </si>
  <si>
    <t>הכרה ברוו״ה / רווח כולל אחר, מקרים</t>
  </si>
  <si>
    <t>של הפחתת קרן לעודפים / קרן קבועה</t>
  </si>
  <si>
    <t xml:space="preserve">אירועים לאחר תאריך הדיווח הכספי - </t>
  </si>
  <si>
    <t>שאלה תיאורטית, ייתכנו נגיעות כמותיות</t>
  </si>
  <si>
    <t>קלות - עיקר הדגש הוא על ההבנה התיאורטית</t>
  </si>
  <si>
    <t xml:space="preserve">קרי מחייב התאמה / לא מחייב התאמה </t>
  </si>
  <si>
    <t>כולל הנמקה ומשמעות אך ייתכנו ערכים</t>
  </si>
  <si>
    <t xml:space="preserve">מספריים. </t>
  </si>
  <si>
    <t>נושא (בכלליות! יודעים הכלללל)</t>
  </si>
  <si>
    <t>ירידת ערך נכסים, עם כל השכלולים הרלוונטיים</t>
  </si>
  <si>
    <t>כולל סוגיות של מס, היוון עלויות, חישובים</t>
  </si>
  <si>
    <t>פיננסיים הקשורים לתזרים תפעולי וכן הלאה.</t>
  </si>
  <si>
    <t>יהיה דגש ומיקוד בנושאים שנדונו ותורגלו</t>
  </si>
  <si>
    <t>במסגרת השאלות המורכבות, אבל ייתכנו</t>
  </si>
  <si>
    <t>באופן חלקי גם יישומים מורכבים יותר.</t>
  </si>
  <si>
    <t>קגו - יחידה מניבת מזומנים, כולל שני רכיבים,</t>
  </si>
  <si>
    <t>סעיף / סעיפים שדנים בתיאוריה בלבד, בעצם</t>
  </si>
  <si>
    <t xml:space="preserve">ההכרה בקגו והמשמעות הקשורה לכך, </t>
  </si>
  <si>
    <t>ולצדם סעיפים שקשורים להקצאת ירידת ערך</t>
  </si>
  <si>
    <t>בגין CGU</t>
  </si>
  <si>
    <t>מדיניות חשבונאית, אומדנים חשבונאיים</t>
  </si>
  <si>
    <t>וטעויות: דיון תיאורטי, קייס סטאדי</t>
  </si>
  <si>
    <t>כלומר, תיאור מקרה והתלבטות של חברה</t>
  </si>
  <si>
    <t>ועליכם להכריע באיזה סוג מקרה מדובר,</t>
  </si>
  <si>
    <t>ואיך עקרונית יתבטא אופן הטיפול</t>
  </si>
  <si>
    <t xml:space="preserve">במסגרת הדיווח הכספי. </t>
  </si>
  <si>
    <t>מפגש 13 - 26.6.2025 - שאלות תאוריה לקראת הבחינה בנושאים שונים</t>
  </si>
  <si>
    <t xml:space="preserve">לייצר שאלות מורכבות בסגנון בחינה ולהשיב עליהן בעדינות, תוך מתן הדגשים רלוונטיים - בתחום התיאורטי. </t>
  </si>
  <si>
    <t>שאלות תאורטיות יכולות להשאל בפני עצמן או להכלל כסעיף מסוים בשאלות אחרות.</t>
  </si>
  <si>
    <t xml:space="preserve">משקל השאלות התאורטיות צפוי להיות לא מבוטל - במצטבר לפחות 20 נק׳. </t>
  </si>
  <si>
    <t>דוד שי</t>
  </si>
  <si>
    <t>והאחיינים</t>
  </si>
  <si>
    <t>שאלה תיאורטית ברמת בחינה לדוגמא - IAS 8 - שינויים באומדנים חשבונאיים, מדיניות</t>
  </si>
  <si>
    <t>חשבונאית וטעויות</t>
  </si>
  <si>
    <t xml:space="preserve">חברת א״חי בע״מ עוסקת בתכנון הנדסי, ייצור ומכירה של בקרים בתחום חימום הנקניק. </t>
  </si>
  <si>
    <t>במסגרת ישיבת הדירקטוריון של החברה, שבראשו עומד רו״ח אביב רופל, עלו הסוגיות</t>
  </si>
  <si>
    <t>הבאות בישיבה הקשוה לאישור הדוחות הכספיים ליום 31 בדצמבר 2025:</t>
  </si>
  <si>
    <t xml:space="preserve">סוגיה 1: </t>
  </si>
  <si>
    <t xml:space="preserve">מאז הקמתה, החברה הפחיתה מכונות ייצור בשיטת הקו הישר. </t>
  </si>
  <si>
    <t>לאחרונה, לאחר בחינה מחודש של דפוס השחיקה / הבלאי של המכונות, החברה מעריכה</t>
  </si>
  <si>
    <t xml:space="preserve">שהגיוני יותר לייחס הפחתה בשיטת יחידות התפוקה. </t>
  </si>
  <si>
    <t xml:space="preserve">א. באיזה סוג שינוי מדובר על פי הנחיות IAS 8. </t>
  </si>
  <si>
    <t>ב. כיצד יטופל השינוי - רטרוספקטיבי או פרוספקטיבי, נמקו מדוע - לא רק על פי ההנחיות</t>
  </si>
  <si>
    <t>הטכניות של התקן, אלא על בסיס הבנה רחבה יותר של תפקיד המידע לקוראי הדוחות.</t>
  </si>
  <si>
    <t xml:space="preserve">ג. ככל שנדרש גילוי לגבי השינוי - הסבירו את מהותו. </t>
  </si>
  <si>
    <t>כאשר מדובר בשינוי אופן ההפחתה של פריט רכוש קבוע קיים מדובר בשינוי מסוג</t>
  </si>
  <si>
    <t>שינוי אומדן משמעו: שינוי בהערכות (באומדנים) לפיהם מבצעים חישוב חשבונאי</t>
  </si>
  <si>
    <t xml:space="preserve">מסויים בעקבות כניסת מידע חדש שמצדיק את העדכון. </t>
  </si>
  <si>
    <t>בשפה פשוטה: אם חלה עלייה ברמת הסיכון של הלקוחות, ושיעור ההלח״מ עולה,</t>
  </si>
  <si>
    <t xml:space="preserve">זהו שינוי אומדן. </t>
  </si>
  <si>
    <t xml:space="preserve">המשמעות היא שהתקבל מידע חדש שמצדיק בדיקה של הפרמטרים לחישוב </t>
  </si>
  <si>
    <t xml:space="preserve">הוצאות הפחת. </t>
  </si>
  <si>
    <r>
      <t>אם רכוש קבוע מתחיל להשחק בצורה שונה - כמו כאן - שבוצעה ״</t>
    </r>
    <r>
      <rPr>
        <u/>
        <sz val="12"/>
        <color theme="1"/>
        <rFont val="David"/>
        <family val="2"/>
        <charset val="177"/>
      </rPr>
      <t>בחינה מחודשת</t>
    </r>
    <r>
      <rPr>
        <sz val="12"/>
        <color theme="1"/>
        <rFont val="David"/>
        <family val="2"/>
        <charset val="177"/>
      </rPr>
      <t>״</t>
    </r>
  </si>
  <si>
    <t>שינוי בפרמטרים להפחתת רכוש קבוע, לרבות: שינוי בתקופת ההפחתה,</t>
  </si>
  <si>
    <t xml:space="preserve">בערך השייר / הגרט, וגם בשיטת ההפחתה - כולם בגדר שינוי אומדן. </t>
  </si>
  <si>
    <t>כשמודדים רכוש קבוע, לצורך העניין - שינוי של שיטת הפחתה הוא בעצם שינוי</t>
  </si>
  <si>
    <t xml:space="preserve">של פרמטר - המדיניות החשבונאית או ״עקרון החישוב״ הוא מודל העלות. </t>
  </si>
  <si>
    <t>הוא לא השתנה. מה שהשתנה זה שבמקום להעריך שהשחיקה היא על פני</t>
  </si>
  <si>
    <t>שנים השחיקה היא על בסיס יחידות.</t>
  </si>
  <si>
    <t xml:space="preserve">שינוי אומדן - אם השינוי נובע מקבלת מידע חדש המצדיק את שינוי האומדן של דפוס </t>
  </si>
  <si>
    <t>ההפחתה.</t>
  </si>
  <si>
    <t>הדרכה:</t>
  </si>
  <si>
    <t>בתשובות אני מרחיב מעל ומעבר, כדי לסייע, להזכיר,</t>
  </si>
  <si>
    <t>לרענן בדבר אופן הפתרון והדגשים.</t>
  </si>
  <si>
    <t xml:space="preserve">את החלק שחובה עליכם להגיע אליו במבחן, </t>
  </si>
  <si>
    <t xml:space="preserve">למענכם - אין צורך לחפור לי עד כדי כך במבחן. </t>
  </si>
  <si>
    <r>
      <t xml:space="preserve">אני מסמן </t>
    </r>
    <r>
      <rPr>
        <b/>
        <sz val="12"/>
        <color theme="1"/>
        <rFont val="David"/>
        <family val="2"/>
        <charset val="177"/>
      </rPr>
      <t>בשחור בולד (מודגש).</t>
    </r>
    <r>
      <rPr>
        <sz val="12"/>
        <color theme="1"/>
        <rFont val="David"/>
        <family val="2"/>
        <charset val="177"/>
      </rPr>
      <t xml:space="preserve"> כל היתר אלו הסברים </t>
    </r>
  </si>
  <si>
    <t xml:space="preserve">בשפה הכי פשוטה שיש לי: ״משהו קרה כעת - ולכן, מפה והלאה, לא אחורנית - </t>
  </si>
  <si>
    <t>אופן השחיקה וחישוב הוצאות הפחת שונה מבחינת הפרמטרים״.</t>
  </si>
  <si>
    <t>א1</t>
  </si>
  <si>
    <t>ב1</t>
  </si>
  <si>
    <t>טיפול רטרוספקטיבי משמעו - יש לתקן גם את המידע החשבונאי ההיסטורי</t>
  </si>
  <si>
    <t xml:space="preserve">המדווח (מספרי השוואה) וגם את אופן הטיפול מפה והלאה (רטרו - אחורה). </t>
  </si>
  <si>
    <t xml:space="preserve">טיפול פרוספקטיבי משמעו - מתקנים רק ממועד השינוי קדימה (פרוספקט - קדימה). </t>
  </si>
  <si>
    <t>הואיל ומדובר בשינוי אומדן, IAS 8 קובע שהטיפול יהיה פרוספקטיבי - ממועד</t>
  </si>
  <si>
    <t>קבלת המידע החדש ואילך. הווי אומר: השלכות השינוי תקבלנה ביטוי בשנת</t>
  </si>
  <si>
    <t xml:space="preserve">הדיווח 2025 וכן בשנים העוקבות, ללא תיקון מספרי ההשוואה (לשנים 2024 אחורנית). </t>
  </si>
  <si>
    <t>ההצדקה עבור קוראי הדיווח:</t>
  </si>
  <si>
    <t xml:space="preserve">כלשהו באופן חישוב השחיקה בתקופות קודמות. </t>
  </si>
  <si>
    <t>ממש כשם ששינוי שיעור ההלח״מ בגין לקוחות איננו מעיד על שינוי במצבם של הלקוחות</t>
  </si>
  <si>
    <t xml:space="preserve">בשנים קודמות. </t>
  </si>
  <si>
    <t>עצם העובדה ששינוי דפוס ההפחתה התרחש השנה - איננו מעיד על שינוי כלכלי</t>
  </si>
  <si>
    <t>חישוב מחדש של כל הוצאות הפחת ותיקון כל הנגזרת מכך בהיבטי הדיווח, מייצר</t>
  </si>
  <si>
    <t>עלות משמעותית בהיבט ייצור המידע וקושי בהבנת המידע החדש לאחר השינוי,</t>
  </si>
  <si>
    <t>ללא תועלת משמעותית לקוראי הדיווח - שבסך הכל רוצים להבין את שחיקת הפריט</t>
  </si>
  <si>
    <t xml:space="preserve">בכל שנה בנפרד. </t>
  </si>
  <si>
    <t>לכאורה, ניתן לטעון שהשינוי המבוצע פרוספטקיבית גורם לעיוות כאשר אנסה להשוות</t>
  </si>
  <si>
    <t>את הוצאות הפחת או את ערך הספרים של הנכס בין תקופות. בהגדרה, התקן IAS 8</t>
  </si>
  <si>
    <t>מתיר פגיעה מסוימת בהשוואתיות כאשר מיישמים שינוי אומדן; ובלבד שניתן לכך</t>
  </si>
  <si>
    <t xml:space="preserve">גילוי במסגרת הביאורים לדוחות (סוגר את כל הפינות). </t>
  </si>
  <si>
    <t>ג1</t>
  </si>
  <si>
    <t>כאשר בעקבות מידע חדש משתנים פרמטרים להפחתה באופן מהותי, בביאורים לדיווח הכספי,</t>
  </si>
  <si>
    <t xml:space="preserve">יש להעניק גילוי לסיבה לשינוי (שינוי באופן השימוש, שינוי טכנולוגי... או כל שינוי אחר </t>
  </si>
  <si>
    <t>שגרם לעדכון הפרמטרים) וההשפעה שהיתה לשינוי בתקופה הנוכחית וצפויה להיות לכך</t>
  </si>
  <si>
    <t>בתקופות עתידיות.</t>
  </si>
  <si>
    <t>הדגמה: ״מתקני הייצור של החברה הופחתו עד ליום 31.12.2024 בשיטת הקו הישר על פני</t>
  </si>
  <si>
    <t>אורך החיים השימושיים בהתאם להנחיות IAS 16. שינוי באופן הייצור על פי הנחיות משרד</t>
  </si>
  <si>
    <t>הבריאות החל מיום 1.1.2025 הואיל לשינוי אומדן ולפיו אופן ההפחתה משנת 2025 ואילך</t>
  </si>
  <si>
    <t>נשען על יחידות התפוקה. כפועל יוצא, הוצאות הפחת בגין מכונות הייצור והתשתיות לשנת</t>
  </si>
  <si>
    <t>הדיווח 2025 היו 150,000 ש״ח במקום 120,000 ש״ח, אנו מעריכים כי גם בשנים העוקבות</t>
  </si>
  <si>
    <t>תחול עלייה דומה בהוצאות הפחת כתוצאה מהשינוי״. ֿ</t>
  </si>
  <si>
    <t>סוגיה 2:</t>
  </si>
  <si>
    <t xml:space="preserve">שיעור האומדן המקורי להפרשה נדרשת בגין תיקונים במסגרת אחריות שהנה 2% נמצא </t>
  </si>
  <si>
    <t xml:space="preserve">כנמוך מדי לאחר שהחברה השלימה את מחזור הייצור הראשון. </t>
  </si>
  <si>
    <t>על בסיס ניתוח מדוקדק של שיעור הכשל במוצרים, מהנדסי החברה ממליצים להגדיל</t>
  </si>
  <si>
    <t xml:space="preserve">את שיעור ההפרשה לאחריות ל-4% מההכנסה הן בתקופה הנוכחית והן בתקופות הבאות. </t>
  </si>
  <si>
    <t>ב2</t>
  </si>
  <si>
    <t>ג2</t>
  </si>
  <si>
    <t>סוג השינוי הרלוונטי שחל פה הוא שינוי אומדן.</t>
  </si>
  <si>
    <t>שינוי מדיניות חשבונאית לא יכול להיות רלוונטי אם מדובר בשינוי מספרי, ולא</t>
  </si>
  <si>
    <t>בשינוי רחב של עקרון החישוב.</t>
  </si>
  <si>
    <t>כשם שכשאתה משנה את שיעור ההלח״מ באחוזים זה לא שינוי מדיניות חשבונאית</t>
  </si>
  <si>
    <t xml:space="preserve">אלא שינוי אומדן, כך גם כאן. </t>
  </si>
  <si>
    <t>השאלה הנוספת הנשאלת היא - האם לא מדובר בתיקון טעות?</t>
  </si>
  <si>
    <t xml:space="preserve">התשובה היא לא, ונבאר. </t>
  </si>
  <si>
    <t>טעות באופן כללי משמעה: היה לי (המדווח) מידע זמין, מלא ומדויק או שיכולתי</t>
  </si>
  <si>
    <t>להשיג בקלות מידע כזה. ובמקום להשתמש בו וליישמו בצורה נכונה - יישמתי אותו</t>
  </si>
  <si>
    <t xml:space="preserve">בצורה שגויה. </t>
  </si>
  <si>
    <t>למשל: ״התברר שמנהל החשבונות הסתמך על מייל שגוי ולא עדכני לגבי שיעור</t>
  </si>
  <si>
    <t>ההפרשה ערב עריכת טיוטת הדיווחים ולכן דיווח על שיעור של 2% במקום 4%״</t>
  </si>
  <si>
    <t>זה מקרה קלאסי של תיקון טעות.</t>
  </si>
  <si>
    <t>אבל... כשמדובר על מוצר חדש, שמייצרים לראשונה, במקרים רבים לא תהיה יכולת</t>
  </si>
  <si>
    <t>מדויקת להעריך את שיעור הכשל מראש.</t>
  </si>
  <si>
    <t>במלים אחרות, החברה עשתה כל מה שיכלה כדי לייצר את האומדן המדויק ביותר</t>
  </si>
  <si>
    <t>מבחינתה לגבי שיעור הכשל, וכל שינוי בשיעורו על בסיס המציאות בפועל - יוצר</t>
  </si>
  <si>
    <t>שינוי אומדן בהקשר הזה, ולא תיקון טעות.</t>
  </si>
  <si>
    <t>אופן הטיפול החשבונאי: פרוספקטיבי. מכאן ואילך ללא תיקון אחורנית.</t>
  </si>
  <si>
    <t xml:space="preserve">בנוסף יינתן גילוי רלוונטי לסיבה לשינוי (מחזור הפעלה ראשון וכן הלאה). </t>
  </si>
  <si>
    <t xml:space="preserve">באופן כזה, המידע הניתן לקוראי הדוחות מביא לידי ביטוי את השינוי והשפעתו, </t>
  </si>
  <si>
    <t>אך מבהיר שלא מדובר ברשלנות של החברה, אלא בסך הכל בעדכון מידע הנובע</t>
  </si>
  <si>
    <t>מהנסיבות בשטח שהחברה לא יכלה לחזות / להעריך בצורה מדויקת קודם לכן.</t>
  </si>
  <si>
    <t xml:space="preserve">אופן הגילוי: בדומה ל-ג1, יש להסביר את מהות השינוי ואת השפעתו הפוטנציאלית. </t>
  </si>
  <si>
    <t xml:space="preserve">הן על התקופה הנוכחית והן על התקופות הבאות. </t>
  </si>
  <si>
    <t xml:space="preserve">למשל: ״החברה ביצעה מחזור ייצור ראשון של בקר נקניק איכותי מבוסס כלי AI. </t>
  </si>
  <si>
    <t>על בסיס הערכות המהנדסים לשיעור הכשל האפשרי למוצר מהפכני זה, ובהיעדר היסטוריה</t>
  </si>
  <si>
    <t>של נתונים דומים לגבי בקרים כאלו בחברות אחרות, בוצעה ההערכה לפי שיעור כשל צפוי</t>
  </si>
  <si>
    <t>של 2%. עם השלמת מחזור ההפעלה הראשון דאגה החברה לבצע ניתוח מדוקדק של שיעור</t>
  </si>
  <si>
    <t xml:space="preserve">הכשל על מנת להבטיח את דיוק ההערכות והאומדנים שבוצעו. </t>
  </si>
  <si>
    <t>במסגרת זאת, גילתה החברה כי שיעור הכשל הוא 4%, ושיקפה זאת מיד בנתוני הדיווח</t>
  </si>
  <si>
    <t>בשנה הנוכחית. כמו כן, השנים הבאות יגלמו שיעור כשל זה, והחברה תמשיך ותעריך</t>
  </si>
  <si>
    <t>את שיעורי הכשל של המוצרים, ככל שיתקדם תהליך הייצור של המוצר״</t>
  </si>
  <si>
    <t>א2</t>
  </si>
  <si>
    <t>סוגיה 3:</t>
  </si>
  <si>
    <t>שבשנים 2023 ו-2024, עלויות פיתוח תוכנה פנימית לדיאגנוסטיקה (ניתוח תהליכים)</t>
  </si>
  <si>
    <t>בתהליכי הייצור של בקרי הנקניק הוכרו ברווח והפסד, זאת למרות שתקן בינלאומי</t>
  </si>
  <si>
    <t>בחשבונאות IAS 38 בדבר נכסים בלתי מוחשיים - מוביל לכך שמתקיימים הקריטריונים</t>
  </si>
  <si>
    <t xml:space="preserve">להכרה בנכס בסכום עלויות אלו. </t>
  </si>
  <si>
    <t xml:space="preserve">במסגרת בקרה פנימית שנערכה בחברה, סמנכ״לית הכספים (קלארקי) גילתה </t>
  </si>
  <si>
    <t>א3</t>
  </si>
  <si>
    <t>ב3</t>
  </si>
  <si>
    <t>ג3</t>
  </si>
  <si>
    <t>הפעם, מדובר בתיקון טעות. מדוע?</t>
  </si>
  <si>
    <t>החברה פעלה באופן מסוים - הכירה בעלויות ברווח והפסד;</t>
  </si>
  <si>
    <t>אך עקרונות רלוונטיים של תקן חשבונאי ספציפי - שרלוונטי למקרה זה,</t>
  </si>
  <si>
    <t xml:space="preserve">מדגישות שצריך להכיר בנכס. </t>
  </si>
  <si>
    <t xml:space="preserve">לא ניתן להתייחס לכך כאל שינוי אומדן; שכן לא מדובר במידע חדש </t>
  </si>
  <si>
    <t xml:space="preserve">שהתגלה לאחר מועד הדיווח ומשנה רק את האומדן הכמותי. </t>
  </si>
  <si>
    <t xml:space="preserve">מדובר בשינוי מלא של אופן הטיפול החשבונאי (נכס ולא הוצאה). </t>
  </si>
  <si>
    <t xml:space="preserve">לא ניתן להתייחס לכך כאל שינוי מדיניות חשבונאית - משום ששינוי כזה </t>
  </si>
  <si>
    <t xml:space="preserve">הוא למעשה שינוי יזום - כשחברה מחליטה בעצמה שיש הצדקה לשנות </t>
  </si>
  <si>
    <t>את אופן החישוב - כאן המצב המתואר שונה לגמרי: החברה היתה צריכה</t>
  </si>
  <si>
    <t>לפעול באופן מסויים (כי כך תקן חשבונאי מנחה) והיא לא עשתה זאת.</t>
  </si>
  <si>
    <t xml:space="preserve">החברה נדרשת לבצע הצגה מחדש (Restatment) ולתקן את מספרי ההשוואה - </t>
  </si>
  <si>
    <t>הערכים החשבונאיים המדווחים בדוחות הנוכחיים לתקופות קודמות - כלומר 2023</t>
  </si>
  <si>
    <t>וכן 2024 באופן שמגלם את כל ההשפעות שהיו מתקיימות אם כלל העלויות</t>
  </si>
  <si>
    <t xml:space="preserve">היו מוכרות בצורה תקינה כנכס (ומופחתות בהתאם). </t>
  </si>
  <si>
    <t>במצב כזה, חשוב להדגיש, שיידרש גם תיקון להון העצמי בבסיס</t>
  </si>
  <si>
    <t xml:space="preserve">הדיווח כדי לשקף השפעות אלו. </t>
  </si>
  <si>
    <t>הגילוי הרלוונטי שיינתן לאירוע זה בביאורים לדיווח יכלול:</t>
  </si>
  <si>
    <t xml:space="preserve">מהות הטעות שזוהתה - במה בדיוק טעו. </t>
  </si>
  <si>
    <t>לכל תקופת דיווח מדווחת - לציין בביאור את השפעת התיקון על הדיווחים,</t>
  </si>
  <si>
    <t>למשל: ״כפועל יוצא מהתיקון הוצאות ההפחתה וכן הרווח הנקי השתנו ב....״</t>
  </si>
  <si>
    <t>שאלה תיאורטית ברמת בחינה לדוגמא -  IAS 10 - שינויים באומדנים חשבונאיים, מדיניות</t>
  </si>
  <si>
    <t xml:space="preserve">חברת ״הנקניק מבית שאן״ היא חברה ציבורית בתחום התוכנה. </t>
  </si>
  <si>
    <t xml:space="preserve">החבה עורכת את הדוחות כספיים שלה ליום 31 בדצמבר 2024. </t>
  </si>
  <si>
    <t xml:space="preserve">הדירקטוריון מכנס ישיבה במסגרתה יאשר את הדוחות הכספיים, שמועדה 15 במרס 2025. </t>
  </si>
  <si>
    <t>הנכם נושאי משרה בתפקיד חשב החברה (האמון על הפקת הדיווח הכספי) והובאו לידיעתכם מספר</t>
  </si>
  <si>
    <t>נתונים לגבי עסקאות / אירועים שהתרחשו מאז סיום שנת 2024:</t>
  </si>
  <si>
    <t>אירוע 1: פשיטת רגל של לקוח משמעותי</t>
  </si>
  <si>
    <t>ב-25 בינואר 2025, עודכנה החברה כי הלקוח השני בגודלו של החברה שנקרא ״נקניקי המרפסת</t>
  </si>
  <si>
    <t xml:space="preserve">ברמת ישי״ הוכרז כפושט רגל. </t>
  </si>
  <si>
    <t>ב-31.12.2024, לקוח זה היה חייב לחברה סכום כספי מהותי מאד, אשר החברה כללה במסגרת</t>
  </si>
  <si>
    <t xml:space="preserve">סעיף נכס הלקוחות. </t>
  </si>
  <si>
    <t xml:space="preserve">לאחר בדיקה של המאפיינים של תהליך פשיטת הרגל, התברר שהלקוח סבל מבעיות פיננסיות </t>
  </si>
  <si>
    <t>והתקשה לשלם לספקיו, לעובדיו ולפרוע את הלוואותיו למוסדות הפיננסים לאורך כל הרבעון</t>
  </si>
  <si>
    <t xml:space="preserve">האחרון של שנת 2024. </t>
  </si>
  <si>
    <t>אירוע 2: השמדה של מחסן מרכזי</t>
  </si>
  <si>
    <t xml:space="preserve">ב-5 בפברואר 2025 פרצה שריפה שהשמידה את אחד מהמחסנים הראשיים של החברה, </t>
  </si>
  <si>
    <t>שבו היה מלאי נקניקים ענקי. ערך הספרים של המחסן יחד עם המלאי הגלום בו היה משמעותי</t>
  </si>
  <si>
    <t xml:space="preserve">מאד ברמה הכספית. </t>
  </si>
  <si>
    <t>נכון ליום 31 בדצמבר 2024, המחסן היה תקין, יכל לשרת את תפקידו / ייעודו, ומלאי הנקניקים</t>
  </si>
  <si>
    <t xml:space="preserve">היה תקין ונהנה מביקושים גבוהים בשוק. </t>
  </si>
  <si>
    <t>לחברה יש ביטוח, אבל תהליך יישובו (השבת הכספים מחברת הביטוח) עשוי לארוך זמן משמעותי</t>
  </si>
  <si>
    <t>והסכום הכספי שיתקבל מאת הביטוח עדיין מצוי באי וודאות.</t>
  </si>
  <si>
    <t>אירוע 3: פסיקה משפטית</t>
  </si>
  <si>
    <t>בנובמבר 2024, מתחרה של החברה הגיש כנגדה תביעה משפטית לגבי הפרת זכויות יוצרים המעוגנות</t>
  </si>
  <si>
    <t xml:space="preserve">בפטנט - מה שהסב, לטענת המתחרה, נזק גדול מאד. </t>
  </si>
  <si>
    <t>מחלקת הייעוץ המשפטי בחברה סבורה שזה אפשרי אבל לא ״בסבירות גבוהה״ שהחברה תפסיד</t>
  </si>
  <si>
    <t xml:space="preserve">בתביעה הזו. </t>
  </si>
  <si>
    <t>בהתאם, החברה כללה גילוי בלבד בדבר התחייבות מותנית בדיווח הכספי לשנת 2024 - אך לא כללה</t>
  </si>
  <si>
    <t xml:space="preserve">את סכום ההתחייבות בדוח על המצב הכספי (הפרשה לנזקי תביעה). </t>
  </si>
  <si>
    <t>ב-20 בפברואר 2025, בית המשפט פסק לרעת החברה, שנדרשת לשלם על פי הפסיקה סכומים</t>
  </si>
  <si>
    <t xml:space="preserve">כספיים משמעותיים למתחרה. </t>
  </si>
  <si>
    <t>אירוע 4: הכרזה על קו מוצרים חדש</t>
  </si>
  <si>
    <t xml:space="preserve">שמשולב בו שבב שמסוגל לבצע פעילות בינה מלאכותית, שתקל על פעולת העיכול שלו. </t>
  </si>
  <si>
    <t xml:space="preserve">עלויות הפיתוח של הפרויקט הוכרו במלואן ברווח והפסד של שנת 2024. </t>
  </si>
  <si>
    <t>תגובת השוק להכרזה היתה חיובית מאד, ושווי מניית החברה עלה באופן מהותי מאד מיד לאחר</t>
  </si>
  <si>
    <t>ההכרזה.</t>
  </si>
  <si>
    <t>נדרשים:</t>
  </si>
  <si>
    <t xml:space="preserve">א. קבעו האם האירוע מחייב התאמה / לא מחייב התאמה לפי IAS 10. </t>
  </si>
  <si>
    <t xml:space="preserve">ב. ספקו נימוק להחלטה בהתאם לעקרונות התקן. </t>
  </si>
  <si>
    <t xml:space="preserve">ג. הסבירו את אופן הטיפול החשבונאי המלא בדוחות הכספיים כולל התאמות </t>
  </si>
  <si>
    <t xml:space="preserve">בדיווח הכספי ו/או בגילויים (ביאורים לדיווח). </t>
  </si>
  <si>
    <t>אירוע 1 - פתרון:</t>
  </si>
  <si>
    <t xml:space="preserve">א. האירוע מחייב התאמה לפי IAS 10. </t>
  </si>
  <si>
    <t>ב. אירוע מחייב התאמה הוא אירוע שבמסגרתו מתגלה מידע לאחר מועד הדיווח,</t>
  </si>
  <si>
    <t>ולפני מועד אישור הדוחות, אשר התקיים ברמה המהותית עוד בשנת הדיווח הקודמת.</t>
  </si>
  <si>
    <t>במקרה זה: אמנם פשיטת הרגל התרחשה רק בשנת 2025, אך כל המידע המהותי</t>
  </si>
  <si>
    <t>המאותת על קיומה (קשיי תשלומים וקשיים פיננסיים של הלקוח) התקיים כבר</t>
  </si>
  <si>
    <t>בשנה הקודמת. כלומר המידע לא ״נולד״ השנה, אלא הובא לידיעתי השנה, והוא</t>
  </si>
  <si>
    <t>משקף נסיבות ששררו כבר (ברובן) במועד הדיווח. לכן עומדים בהגדרה של אירוע</t>
  </si>
  <si>
    <t>מחייב התאמה.</t>
  </si>
  <si>
    <t>ג. יש לבצע בהתאם עדכון רלוונטי לדיווח: להתאים את ערך נכס הלקוחות למתן</t>
  </si>
  <si>
    <t>ביטוי לפשיטת הרגל וההלח״מ בגין הלקוח וסכומו נטו בהתאם. כתוצאה מכך,</t>
  </si>
  <si>
    <t>צפויה לחול ירידה בערך המדווח של סעיף הלקוחות, וברווח של החברה המדווח</t>
  </si>
  <si>
    <t xml:space="preserve">לשנת 2024. </t>
  </si>
  <si>
    <t>אטיאס הקטנה מוסיפה (לא חובה) - שאפשר לרשום פקודה מתקנת כגון:</t>
  </si>
  <si>
    <t>חובה הוצאות עדכון הלח״מ (פשיטת רגל)</t>
  </si>
  <si>
    <t xml:space="preserve">זכות הלח״מ </t>
  </si>
  <si>
    <t>אירוע 2:</t>
  </si>
  <si>
    <t>א. האירוע הוא כזה שאיננו מחייב התאמה.</t>
  </si>
  <si>
    <t>ב. בשונה מהאירוע הקודם, לא מדובר על מצב שבו גיליתי ״לפתע״ נתונים שנכון</t>
  </si>
  <si>
    <t>לתאריך הדיווח היו שונים משחשבתי; במקרה הקודם - כבר למועד הדיווח</t>
  </si>
  <si>
    <t>הלקוח היה בקשיים, אלא שגיליתי זאת רק כאשר התקבלה ההודעה על פשיטת</t>
  </si>
  <si>
    <t>רגל. לכן (באירוע קודם) היה מדובר באירוע מחייב התאמה.</t>
  </si>
  <si>
    <t>לעומת זאת - כאן - יש מידע מפורש שבא ואומר - נכון למועד הדיווח הכל</t>
  </si>
  <si>
    <t>היה תקין. זה אירוע חדש לחלוטין - מצער, אבל חדש. ולכן הוא לא משנה</t>
  </si>
  <si>
    <t xml:space="preserve">את נתוני הדיווח לשנת 2024. </t>
  </si>
  <si>
    <t>ג. בהיבט הטיפול החשבונאי - אסור לתקן את ערכי הספרים של נכסי הרכוש</t>
  </si>
  <si>
    <t xml:space="preserve">הקבוע הכוללים את המחסן ו/או נכסי המלאי. </t>
  </si>
  <si>
    <t>הואיל והאירוע מהותי כמובן שנרש לתת גילוי (בביאורים לדיווח הכספי) שצריך</t>
  </si>
  <si>
    <t>לכלול - מידע לגבי האירוע עצמו (שריפה שהשמידה כך וכך....)</t>
  </si>
  <si>
    <t>ואומדן ההשפעה הכספית של האירוע - מבחינת, סכום הנזק למבנה, סכום הנזק למלאי,</t>
  </si>
  <si>
    <t>וכן אזכור של תביעת הביטוח בתהליך כולל נסיבותיה (אם יש אי ודאות בקבלת הסכום</t>
  </si>
  <si>
    <t xml:space="preserve">מחברת הביטוח לציין גם). </t>
  </si>
  <si>
    <t>א. מדובר באירוע מחייב התאמה.</t>
  </si>
  <si>
    <t>ב. ברמה המהותית - האירוע עצמו, העבירה של החברה, הנזק שנגרם בעקבותיה - כולם התחוללו</t>
  </si>
  <si>
    <t xml:space="preserve">כי התביעה הוגשה בשנה קודמת (מן הסתם התביעה מוגשת אחרי שהנזק קרה). </t>
  </si>
  <si>
    <t>אמנם, אנחנו לא ידענו מה המידע המלא לגבי תביעה זו, בהיבט ההחלטה לגביה</t>
  </si>
  <si>
    <t>והערכים הכספיים שייווצרו (או יידרשו להיות משולמים) כתוצאה ממנה, אבל בדיוק</t>
  </si>
  <si>
    <t>בגלל זה - מתן פסיקת בית המשפט בצורה ברורה ומפורטת היא אירוע מחייבת</t>
  </si>
  <si>
    <t>התאמה בהגדרה, הואיל שמדובר בדיוק במידע המספק בהירות לגבי האירוע</t>
  </si>
  <si>
    <t xml:space="preserve">ההיסטורי של ההפרה והשלכותיה, ולא אירוע חדש כשלעצמו. </t>
  </si>
  <si>
    <t>ג. חובה לבצע התאמות בערכי הדיווח הכספי לשנת 2024 כדי לשקף את השלכות</t>
  </si>
  <si>
    <t>הנזק והתביעה. יש להסיר את הגילוי בדבר ההתחייבות המותנית שהיה טרם התיקון</t>
  </si>
  <si>
    <t xml:space="preserve">ובמקום זה, להכיר בהפרשה בגובה התשלום הצפוי בגין נזקי התביעה. </t>
  </si>
  <si>
    <t xml:space="preserve">כמובן יש ליצור גילוי חדש רלוונטי (ביאור עם נתונים עדכניים) כדי לשקף זאת. </t>
  </si>
  <si>
    <t>האירוע יגדיל את התחייבויות החברה ויקטין את רווחיה, הואיל והנזק הצפוי</t>
  </si>
  <si>
    <t>לחברה עצמה מהווה הוצאה. או, כמו שאטיאס הקטנה אומרת: חובה הוצאות בגין</t>
  </si>
  <si>
    <t xml:space="preserve">נזקי תביעה / הפרשה לתביעה, זכות התחייבות בגין תביעה. </t>
  </si>
  <si>
    <t>א. מדובר באירוע שאיננו מחייב התאמה.</t>
  </si>
  <si>
    <t>בישיבת משקיעים גדולה שהתקיימה ב-30 בינואר 2025, מנכ״לית החברה הכריזה על נקניק מהפכני</t>
  </si>
  <si>
    <t>ב. אירוע ההכרזה מתייחס למידע שהובא לידיעת ציבור המשקיעים לגבי המוצר החדש.</t>
  </si>
  <si>
    <t xml:space="preserve">ייתכן שבעתיד ההכרזה הזו תוביל את החברה לרווחים גבוהים. </t>
  </si>
  <si>
    <t>אבל נכון למועד הדיווח - לא התקיים שום מידע כספי רלוונטי ששייך לדיווח הכספי.</t>
  </si>
  <si>
    <t>ההתלהבות מהמוצר - מתארת ציפייה של המשקיעים שבעתיד המוצר יירכש בכמויות</t>
  </si>
  <si>
    <t xml:space="preserve">גבוהות. </t>
  </si>
  <si>
    <t>שינוי בציפיות לעתיד של משקיעים כלל איננו אירוע שמתייחס לדוחות הכספיים של החברה</t>
  </si>
  <si>
    <t>עצמה.</t>
  </si>
  <si>
    <t xml:space="preserve">נכון ל-31.12.2024 בהתאם לנתוני השאלה, אין שום דרך שהחברה תוכל להעריך על פי </t>
  </si>
  <si>
    <t>המידע המתואר בשאלה כמה מוצרים יירכשו ממנה, מה יהיה הרווח מהם, והאם ועד כמה</t>
  </si>
  <si>
    <t xml:space="preserve">היכולת להפיק הטבות מההשקעה הזו בפרויקט היתה ממשית כבר למועד הדיווח. </t>
  </si>
  <si>
    <t>במלים יותר פשוטות: התלהבות משקיעים בפני עצמה לא מעידה על נתונים כספיים</t>
  </si>
  <si>
    <t>פיננסיים לשינוי במועד מוקדם יותר.</t>
  </si>
  <si>
    <t>אז בעצם: נכון למועד הדיווח אין שום דרך להעריך או לצפות מה תהיה ההשפעה,</t>
  </si>
  <si>
    <t>גם אירוע ההכרזה וההתלהבות הנרשמת בעקבותיו איננו ניתן לכימות במונחי נתוני</t>
  </si>
  <si>
    <t xml:space="preserve">דיווח כספי - שינויים בשווי מניה של חברה אינם מקבלים ביטוי בדוחותיה כלל. </t>
  </si>
  <si>
    <t>אבל גם כאן יכול להיווצר סימן שאלה - משום שעדיין ההשפעות העתידיות אינן</t>
  </si>
  <si>
    <t>ידועות כלל (לכן ייתכן והביאורים של הדוחות אינן רלוונטיים בכלל, ועדיף לספק</t>
  </si>
  <si>
    <t xml:space="preserve">את המידע מחוץ לדוחות, כי הוא לא משקף מידע מהדוחות עצמם). </t>
  </si>
  <si>
    <t xml:space="preserve">ג. אופן הטיפול: לא מבעים שינוי בערכים הכספיים בדיווח, ניתן לייצר גילוי - </t>
  </si>
  <si>
    <t>שאלה תיאורטית ברמת בחינה לדוגמא -  IAS 36 - CGU</t>
  </si>
  <si>
    <t>אירוע 1:</t>
  </si>
  <si>
    <t xml:space="preserve">חברת נקניק מפעילה מתקן ייצור נקניק ענקי. המפעל הענקי מורכב מ-3 מחלקות נפרדות באותו </t>
  </si>
  <si>
    <t>מתקן ייצור:</t>
  </si>
  <si>
    <t>מתקן שחיטת עופות</t>
  </si>
  <si>
    <t>מתקן טחינת גרוגרות ופופיקים</t>
  </si>
  <si>
    <t>מתקן עטיפה במעיים</t>
  </si>
  <si>
    <t>אין שוק פעיל למוצרי הביניים (עופות שחוטים וגרוגרות ופופיקים טחונים), המוצר הסופי</t>
  </si>
  <si>
    <t>נמכר לקשת רחבה של לקוחות, כאשר ההכנסות מהמתקן מתועדות באופן מצרפי (מכלל המפעל</t>
  </si>
  <si>
    <t xml:space="preserve">ללא הקצאה יחסית של ההכנסות למחלקות). </t>
  </si>
  <si>
    <t xml:space="preserve">חברה מפעילה 50 מוסדות לחימום נקניק ברחבי העולם תחת המותג ״קלארקי״. </t>
  </si>
  <si>
    <t>כל מתקן מהווה ישות משפטית נפרדת הממוקמת בעיר מרכזית גדולה בעולם.</t>
  </si>
  <si>
    <t xml:space="preserve">כל מוסד אחראי לפעילויותיו השוטפות כולל שיווק ותפעול. </t>
  </si>
  <si>
    <t xml:space="preserve">כל מוסד מבצע ניהול הרישומים ותיעוד ההכנסות באופן מלא. </t>
  </si>
  <si>
    <t>יחד עם זאת, קיים משרד מטה משותף שעוסק בניהול גלובלי של המותג ״קלארקי״ ומנהל</t>
  </si>
  <si>
    <t xml:space="preserve">חלק מרכזי מהרישומים הכוללים של הקבוצה (כ-60%) וכן דואג לתיאומים בשיווק. עלויות </t>
  </si>
  <si>
    <t>לאחרונה, מוסד חימום הנקניק בפריס סובל מביקושים נמוכים במיוחד ורווחיותו נפגעה</t>
  </si>
  <si>
    <t>בצורה חזקה. ההנהלה נתבקשה לבחון את נכסיו בהיבט הצורך להכיר בהפרשה</t>
  </si>
  <si>
    <t xml:space="preserve">לירידת ערך. </t>
  </si>
  <si>
    <t xml:space="preserve">נדרש: האם המוסד בפריס הוא CGU? נמקו. </t>
  </si>
  <si>
    <t>אירוע 3:</t>
  </si>
  <si>
    <t>מפעל עיבוד כרבולות פועל בניקראגואה. צריך להעביר את הכרבולות הטחונות לנמל הקרוב</t>
  </si>
  <si>
    <t xml:space="preserve">לצרכי ייצוא, החברה מפעילה לשם כך מסילת הובלה פרטית. </t>
  </si>
  <si>
    <t xml:space="preserve">המסילה לא יוצרת רווח בעצמה אבל עלויותיה היא חלק מעלויות התפעול של המפעל. </t>
  </si>
  <si>
    <t>קיים שוק גלובלי לכרבולות טחונות.</t>
  </si>
  <si>
    <t>אירוע 4:</t>
  </si>
  <si>
    <t xml:space="preserve">נקניקי עפולה היא רשת נקניקים זולה. היא מפעילה 20 מזללות נקניק ברחבי עפולה. </t>
  </si>
  <si>
    <t>קלארקי רצתה להתחתן בבית ולשם כך הזמינה 5,000 נקניקיות, ההזמנה חולקה בין</t>
  </si>
  <si>
    <t>הסניפים הפנויים כדי לקצר את זמן ההספקה.</t>
  </si>
  <si>
    <t>ההנהלה מודאגת לגבי הרווחיות של מזללת נקניק שנמצאת ליד רו״ח רופל שכן מאז</t>
  </si>
  <si>
    <t xml:space="preserve">שהוא הפך לראש חוג הוא אוכל סטייקים בלבד. </t>
  </si>
  <si>
    <t xml:space="preserve">ההנהלה גם עוקבת אחרי ההכנסות מכל סניף בנפרד. </t>
  </si>
  <si>
    <t xml:space="preserve">נדרש: האם מזללת הנקניק שליד רו״ח רופל היא CGU? נמקו. </t>
  </si>
  <si>
    <t>פתרון 1:</t>
  </si>
  <si>
    <t>רקע: יחידה מניבת מזומנים היא מקבץ הנכסים הקטן ביותר שאפשר להתייחס אליו ככזה</t>
  </si>
  <si>
    <t xml:space="preserve">שמניב תזרימי מזומנים אוטונומית / בעצמו. </t>
  </si>
  <si>
    <t xml:space="preserve">האם מתקן העטיפה במעיים הוא -CGU? נמקו. </t>
  </si>
  <si>
    <t>במקרה שלנו, אין אף מחלקה שיכולה להפיק בפני עצמה תזרימי מזומנים - אין שוק</t>
  </si>
  <si>
    <t xml:space="preserve">למוצרי הביניים, וההתייחסות היא לכל מתקני הייצור כשרשרת אחת יוצרת ערך. </t>
  </si>
  <si>
    <t>הערה: אם היה ניתן למכור את מוצרי הביניים במחיר ראוי, היה הגיוני לפצל את המתקנים</t>
  </si>
  <si>
    <t>ליחידות מניבות מזומנים נפרדות.</t>
  </si>
  <si>
    <t>לכן היחידה מניבת המזומנים הקטנה ביותר בהינתן נתוני האירוע היא כל 3 המתקנים</t>
  </si>
  <si>
    <t xml:space="preserve">יחד, ולא מתקן אחד ויחיד. </t>
  </si>
  <si>
    <t xml:space="preserve">מתקן העטיפה במעיים לא יכול להניב תזרימי מזומנים בפני עצמו אוטונומית, הוא </t>
  </si>
  <si>
    <t>תלוי בצורה בלתי נפרדת מהמתקנים האחרים, ולכן שלושתם יחד הם אלו שיוצרים CGU.</t>
  </si>
  <si>
    <t>פתרון 2:</t>
  </si>
  <si>
    <t xml:space="preserve">ניהול המטה מוקצות למוסדות הבודדים. </t>
  </si>
  <si>
    <t>אמרנו כבר קודם אבל נדגיש: יחידה מניבת מזומנים CGU היא אוסף הנכסים הקטן ביותר</t>
  </si>
  <si>
    <t xml:space="preserve">שיכול להניב מזומנים באופן אוטונומי (בעצמו, ללא קשר חזק מאד לנכסים אחרים). </t>
  </si>
  <si>
    <t xml:space="preserve">על פי נתוני השאלה, המתקן הוא ישות משפטית נפרדת, אחראי באופן מלא לפעילויותיו, </t>
  </si>
  <si>
    <t>מנהל רישומים והכנסות ברמתו, ויותר מזה - אפשר לראות שהאירוע השלילי שחל</t>
  </si>
  <si>
    <t xml:space="preserve">מתייחס נקודתית לסניף בפריס, בלי שום השלכה ישירה על סניפים אחרים / נכסים אחרים בהתאמה. </t>
  </si>
  <si>
    <t xml:space="preserve">לכן, סביר להניח שיש לסווג את המוסד בפריס כ-CGU. </t>
  </si>
  <si>
    <t>לגבי המידע בדבר משרד המטה המשותף לניהול גלובלי - הרי שלצד תרומתו האפשרית</t>
  </si>
  <si>
    <t xml:space="preserve">להצלחת המוסד בפריס, זה לא שולל עקרונית את סיווגו כ-CGU. </t>
  </si>
  <si>
    <t xml:space="preserve">תזרימי המזומנים עדיין נוצרים ברמת הסניף. </t>
  </si>
  <si>
    <t>זה נכון שניתן עקרונית, אם יש לכך הצדקה כלכלית, לשייך פרופורציונלית חלק מנכסי</t>
  </si>
  <si>
    <t>המטה ל-CGU של המוסד בפריס, אבל זה לא סותר את הרמה המהותית מדובר בסניף</t>
  </si>
  <si>
    <t>שפועל מכל הבחינות המהותיות - אוטונומית.</t>
  </si>
  <si>
    <t xml:space="preserve">תשובה סופית - מתקן העטיפה במעיים איננו CGU. </t>
  </si>
  <si>
    <t>תשובה סופית - המוסד בפריס הוא CGU.</t>
  </si>
  <si>
    <t xml:space="preserve">האם המסילה היא CGU? נמקו. </t>
  </si>
  <si>
    <t>פתרון 3:</t>
  </si>
  <si>
    <t>תזכורת: יחידה מניבת מזומנים תוגדר ככזו אם ורק אם היא מסוגלת להניב באופן</t>
  </si>
  <si>
    <t xml:space="preserve">אוטונומי ובמנותק מנכסים אחרים תזרימי מזומנים. </t>
  </si>
  <si>
    <t>לכן המסילה איננה מהווה CGU: לא מסוגלת להניב תזרימי מזומנים בעצמה.</t>
  </si>
  <si>
    <t xml:space="preserve">אלא רק כחלק מהפעילות הרחבה יותר שכוללת גם את המפעל. </t>
  </si>
  <si>
    <t>פתרון 4:</t>
  </si>
  <si>
    <t>המזללות משרתות את כל איזור הצפון באופן מתחלף על בסיס ניהול מרכזי, למשל,</t>
  </si>
  <si>
    <t>תזכורת: יחידה מניבת מזומנים מוגדרת ככזו אם היא מסוגלת להניב מזומנים</t>
  </si>
  <si>
    <t xml:space="preserve">באופן אוטונומי. </t>
  </si>
  <si>
    <t>במקרה שלנו, מדובר בסניפים שהניתוב של ההזמנות אליהם מבוצע על בסיס</t>
  </si>
  <si>
    <t>מקום פנוי. זאת אומרת, שעקרונית, ההקצאה של ההזמנות והרווחים בין סניפים</t>
  </si>
  <si>
    <t>היא אקראית: יש ישות אחת (רשת הנקניקים הזולה) שמקבלת את כל ההזמנות,</t>
  </si>
  <si>
    <t xml:space="preserve">והיא זו שמנתבת אותן לסניפים. </t>
  </si>
  <si>
    <t>כלומר הסניף לא יוצר עקרונית הכנסה בעצמו, הוא רק ממלא בקשות של הישות</t>
  </si>
  <si>
    <t xml:space="preserve">הגדולה יותר, של קבוצת הסניפים. </t>
  </si>
  <si>
    <t>לפיכך, יכולה להתקיים הצדקה לטענה שאומרת: אם בסך הכל מדובר במעין ״מפעלי ייצור״</t>
  </si>
  <si>
    <t>משותפים לגוף ארגוני אחד, יש להתייחס לכולם יחד כ-CGU - כלומר, בהנחה שהמוסדות</t>
  </si>
  <si>
    <t>השונים לא מבצעים פעילות אוטונומית כלל, אלא רק הקצאות על בסיס מקום פנוי מההנהלה,</t>
  </si>
  <si>
    <t xml:space="preserve">הרי שיחידה אוטונומית (סניף בודד) לא מניב מזומן בפני עצמו ולכן לא יהיה CGU. </t>
  </si>
  <si>
    <t>יחד עם זאת, סטודנט שציין בהנמקה משהו בסגנון של:</t>
  </si>
  <si>
    <t>״לא נאמר בשאלה - ולכן אני מניח שהסניפים יכולים גם למכור בעצמם ללקוחות ולהניב</t>
  </si>
  <si>
    <t>מזומנים, ופעילותם לא נשענת אך ורק על הקצאת הזמנות גדולות מההנהלה, ולכן</t>
  </si>
  <si>
    <t xml:space="preserve">לדעתי מדובר ב-CGU״ הנמקתו בהחלט יכולה להתקבל. </t>
  </si>
  <si>
    <t xml:space="preserve">אם מניחים שכל הפעילות נובעת מהקצאת ההזמנות במרוכז ע״י הנהלה מרכזית - סניף אחד איננו CGU </t>
  </si>
  <si>
    <t>אם מניחים שפעילות סניפית כוללת מכירה ישירה ולא רק הקצאת הזמנות - אזי סניף עשוי להיות מוגדר כ-CGU</t>
  </si>
  <si>
    <t xml:space="preserve">זוהי הדגמה לשאלה שבה יש משמעות גבוהה מאד להנמקה.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</si>
</sst>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00"/>
    <numFmt numFmtId="165" formatCode="#,##0.0_);\(#,##0.0\)"/>
  </numFmts>
  <fonts count="39" x14ac:knownFonts="1">
    <font>
      <sz val="12"/>
      <color theme="1"/>
      <name val="Aptos Narrow"/>
      <family val="2"/>
      <scheme val="minor"/>
    </font>
    <font>
      <sz val="12"/>
      <color theme="1"/>
      <name val="David"/>
      <family val="2"/>
      <charset val="177"/>
    </font>
    <font>
      <b/>
      <sz val="12"/>
      <color theme="1"/>
      <name val="David"/>
      <family val="2"/>
      <charset val="177"/>
    </font>
    <font>
      <u/>
      <sz val="12"/>
      <color theme="10"/>
      <name val="Aptos Narrow"/>
      <family val="2"/>
      <scheme val="minor"/>
    </font>
    <font>
      <u/>
      <sz val="12"/>
      <color theme="10"/>
      <name val="David"/>
      <family val="2"/>
      <charset val="177"/>
    </font>
    <font>
      <sz val="12"/>
      <color rgb="FF000000"/>
      <name val="David"/>
      <family val="2"/>
      <charset val="177"/>
    </font>
    <font>
      <b/>
      <sz val="12"/>
      <color rgb="FF000000"/>
      <name val="David"/>
      <family val="2"/>
      <charset val="177"/>
    </font>
    <font>
      <b/>
      <sz val="12"/>
      <color rgb="FFFF0000"/>
      <name val="David"/>
      <family val="2"/>
      <charset val="177"/>
    </font>
    <font>
      <b/>
      <sz val="12"/>
      <color rgb="FF00B050"/>
      <name val="David"/>
      <family val="2"/>
      <charset val="177"/>
    </font>
    <font>
      <sz val="11"/>
      <color theme="1"/>
      <name val="David"/>
      <family val="2"/>
      <charset val="177"/>
    </font>
    <font>
      <sz val="12"/>
      <color rgb="FFFF0000"/>
      <name val="David"/>
      <family val="2"/>
      <charset val="177"/>
    </font>
    <font>
      <sz val="12"/>
      <name val="David"/>
      <family val="2"/>
      <charset val="177"/>
    </font>
    <font>
      <b/>
      <sz val="12"/>
      <color rgb="FF0070C0"/>
      <name val="David"/>
      <family val="2"/>
      <charset val="177"/>
    </font>
    <font>
      <sz val="28"/>
      <color theme="1"/>
      <name val="David"/>
      <family val="2"/>
      <charset val="177"/>
    </font>
    <font>
      <b/>
      <sz val="14"/>
      <color theme="1"/>
      <name val="David"/>
      <family val="2"/>
      <charset val="177"/>
    </font>
    <font>
      <sz val="12"/>
      <color theme="0"/>
      <name val="David"/>
      <family val="2"/>
      <charset val="177"/>
    </font>
    <font>
      <sz val="12"/>
      <name val="Aptos Narrow"/>
      <family val="2"/>
      <scheme val="minor"/>
    </font>
    <font>
      <sz val="12"/>
      <color theme="1"/>
      <name val="David"/>
      <family val="2"/>
      <charset val="177"/>
    </font>
    <font>
      <b/>
      <sz val="12"/>
      <color theme="1"/>
      <name val="David"/>
      <family val="2"/>
      <charset val="177"/>
    </font>
    <font>
      <strike/>
      <sz val="12"/>
      <color rgb="FFFF0000"/>
      <name val="David"/>
      <family val="2"/>
      <charset val="177"/>
    </font>
    <font>
      <sz val="12"/>
      <color rgb="FFFF0000"/>
      <name val="David"/>
      <family val="2"/>
      <charset val="177"/>
    </font>
    <font>
      <b/>
      <u/>
      <sz val="12"/>
      <color theme="1"/>
      <name val="David"/>
      <family val="2"/>
      <charset val="177"/>
    </font>
    <font>
      <b/>
      <sz val="12"/>
      <color rgb="FF00B050"/>
      <name val="David"/>
      <family val="2"/>
      <charset val="177"/>
    </font>
    <font>
      <b/>
      <sz val="12"/>
      <color rgb="FFFF0000"/>
      <name val="David"/>
      <family val="2"/>
      <charset val="177"/>
    </font>
    <font>
      <b/>
      <sz val="12"/>
      <color theme="4" tint="-0.249977111117893"/>
      <name val="David"/>
      <family val="2"/>
      <charset val="177"/>
    </font>
    <font>
      <b/>
      <sz val="10"/>
      <color theme="1"/>
      <name val="David"/>
      <family val="2"/>
      <charset val="177"/>
    </font>
    <font>
      <b/>
      <sz val="8"/>
      <color theme="1"/>
      <name val="David"/>
      <family val="2"/>
      <charset val="177"/>
    </font>
    <font>
      <b/>
      <sz val="22"/>
      <color theme="1"/>
      <name val="David"/>
      <family val="2"/>
      <charset val="177"/>
    </font>
    <font>
      <sz val="22"/>
      <color theme="1"/>
      <name val="David"/>
      <family val="2"/>
      <charset val="177"/>
    </font>
    <font>
      <u/>
      <sz val="12"/>
      <color theme="1"/>
      <name val="David"/>
      <family val="2"/>
      <charset val="177"/>
    </font>
    <font>
      <sz val="12"/>
      <color rgb="FF0070C0"/>
      <name val="David"/>
      <family val="2"/>
      <charset val="177"/>
    </font>
    <font>
      <sz val="12"/>
      <color rgb="FF00B050"/>
      <name val="David"/>
      <family val="2"/>
      <charset val="177"/>
    </font>
    <font>
      <b/>
      <u/>
      <sz val="12"/>
      <color rgb="FFFF0000"/>
      <name val="David"/>
      <family val="2"/>
      <charset val="177"/>
    </font>
    <font>
      <b/>
      <u/>
      <sz val="12"/>
      <color rgb="FF0070C0"/>
      <name val="David"/>
      <family val="2"/>
      <charset val="177"/>
    </font>
    <font>
      <b/>
      <sz val="16"/>
      <color theme="1"/>
      <name val="David"/>
      <family val="2"/>
      <charset val="177"/>
    </font>
    <font>
      <sz val="16"/>
      <color theme="1"/>
      <name val="David"/>
      <family val="2"/>
      <charset val="177"/>
    </font>
    <font>
      <sz val="10"/>
      <color theme="1"/>
      <name val="David"/>
      <family val="2"/>
      <charset val="177"/>
    </font>
    <font>
      <b/>
      <sz val="18"/>
      <color theme="1"/>
      <name val="David"/>
      <family val="2"/>
      <charset val="177"/>
    </font>
    <font>
      <sz val="12"/>
      <color theme="2" tint="-0.249977111117893"/>
      <name val="David"/>
      <family val="2"/>
      <charset val="177"/>
    </font>
  </fonts>
  <fills count="23">
    <fill>
      <patternFill patternType="none"/>
    </fill>
    <fill>
      <patternFill patternType="gray125"/>
    </fill>
    <fill>
      <patternFill patternType="solid">
        <fgColor rgb="FFFFFF00"/>
        <bgColor indexed="64"/>
      </patternFill>
    </fill>
    <fill>
      <patternFill patternType="solid">
        <fgColor theme="7" tint="0.59999389629810485"/>
        <bgColor indexed="64"/>
      </patternFill>
    </fill>
    <fill>
      <patternFill patternType="solid">
        <fgColor rgb="FFFF0000"/>
        <bgColor indexed="64"/>
      </patternFill>
    </fill>
    <fill>
      <patternFill patternType="solid">
        <fgColor theme="5" tint="0.59999389629810485"/>
        <bgColor indexed="64"/>
      </patternFill>
    </fill>
    <fill>
      <patternFill patternType="solid">
        <fgColor theme="1"/>
        <bgColor indexed="64"/>
      </patternFill>
    </fill>
    <fill>
      <patternFill patternType="solid">
        <fgColor theme="9" tint="0.59999389629810485"/>
        <bgColor indexed="64"/>
      </patternFill>
    </fill>
    <fill>
      <patternFill patternType="solid">
        <fgColor theme="4" tint="0.79998168889431442"/>
        <bgColor indexed="64"/>
      </patternFill>
    </fill>
    <fill>
      <patternFill patternType="solid">
        <fgColor theme="0"/>
        <bgColor indexed="64"/>
      </patternFill>
    </fill>
    <fill>
      <patternFill patternType="solid">
        <fgColor theme="8" tint="0.79998168889431442"/>
        <bgColor indexed="64"/>
      </patternFill>
    </fill>
    <fill>
      <patternFill patternType="solid">
        <fgColor rgb="FF92D050"/>
        <bgColor indexed="64"/>
      </patternFill>
    </fill>
    <fill>
      <patternFill patternType="solid">
        <fgColor theme="2" tint="-9.9978637043366805E-2"/>
        <bgColor indexed="64"/>
      </patternFill>
    </fill>
    <fill>
      <patternFill patternType="solid">
        <fgColor theme="5" tint="0.79998168889431442"/>
        <bgColor indexed="64"/>
      </patternFill>
    </fill>
    <fill>
      <patternFill patternType="solid">
        <fgColor rgb="FFFF8AD8"/>
        <bgColor indexed="64"/>
      </patternFill>
    </fill>
    <fill>
      <patternFill patternType="solid">
        <fgColor theme="2"/>
        <bgColor indexed="64"/>
      </patternFill>
    </fill>
    <fill>
      <patternFill patternType="solid">
        <fgColor rgb="FF00F0FF"/>
        <bgColor indexed="64"/>
      </patternFill>
    </fill>
    <fill>
      <patternFill patternType="solid">
        <fgColor theme="6" tint="0.79998168889431442"/>
        <bgColor indexed="64"/>
      </patternFill>
    </fill>
    <fill>
      <patternFill patternType="solid">
        <fgColor rgb="FF76D6FF"/>
        <bgColor indexed="64"/>
      </patternFill>
    </fill>
    <fill>
      <patternFill patternType="solid">
        <fgColor rgb="FF00FDFF"/>
        <bgColor indexed="64"/>
      </patternFill>
    </fill>
    <fill>
      <patternFill patternType="solid">
        <fgColor theme="7" tint="0.79998168889431442"/>
        <bgColor indexed="64"/>
      </patternFill>
    </fill>
    <fill>
      <patternFill patternType="solid">
        <fgColor rgb="FF8EFA00"/>
        <bgColor indexed="64"/>
      </patternFill>
    </fill>
    <fill>
      <patternFill patternType="solid">
        <fgColor theme="3" tint="0.89999084444715716"/>
        <bgColor indexed="64"/>
      </patternFill>
    </fill>
  </fills>
  <borders count="23">
    <border>
      <left/>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top style="thin">
        <color auto="1"/>
      </top>
      <bottom style="dashed">
        <color auto="1"/>
      </bottom>
      <diagonal/>
    </border>
    <border>
      <left/>
      <right/>
      <top/>
      <bottom style="thin">
        <color indexed="64"/>
      </bottom>
      <diagonal/>
    </border>
    <border>
      <left style="medium">
        <color indexed="64"/>
      </left>
      <right style="medium">
        <color indexed="64"/>
      </right>
      <top style="medium">
        <color indexed="64"/>
      </top>
      <bottom style="medium">
        <color indexed="64"/>
      </bottom>
      <diagonal/>
    </border>
    <border>
      <left/>
      <right/>
      <top style="thin">
        <color auto="1"/>
      </top>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top/>
      <bottom style="dashed">
        <color auto="1"/>
      </bottom>
      <diagonal/>
    </border>
    <border>
      <left style="medium">
        <color indexed="64"/>
      </left>
      <right style="medium">
        <color indexed="64"/>
      </right>
      <top/>
      <bottom style="thin">
        <color indexed="64"/>
      </bottom>
      <diagonal/>
    </border>
    <border>
      <left/>
      <right style="medium">
        <color indexed="64"/>
      </right>
      <top style="medium">
        <color indexed="64"/>
      </top>
      <bottom style="thin">
        <color indexed="64"/>
      </bottom>
      <diagonal/>
    </border>
    <border>
      <left/>
      <right style="medium">
        <color indexed="64"/>
      </right>
      <top style="thin">
        <color auto="1"/>
      </top>
      <bottom style="dashed">
        <color auto="1"/>
      </bottom>
      <diagonal/>
    </border>
  </borders>
  <cellStyleXfs count="2">
    <xf numFmtId="0" fontId="0" fillId="0" borderId="0"/>
    <xf numFmtId="0" fontId="3" fillId="0" borderId="0" applyNumberFormat="0" applyFill="0" applyBorder="0" applyAlignment="0" applyProtection="0"/>
  </cellStyleXfs>
  <cellXfs count="346">
    <xf numFmtId="0" fontId="0" fillId="0" borderId="0" xfId="0"/>
    <xf numFmtId="0" fontId="1" fillId="0" borderId="0" xfId="0" applyFont="1"/>
    <xf numFmtId="0" fontId="2" fillId="0" borderId="0" xfId="0" applyFont="1"/>
    <xf numFmtId="0" fontId="2" fillId="2" borderId="0" xfId="0" applyFont="1" applyFill="1"/>
    <xf numFmtId="0" fontId="1" fillId="0" borderId="1" xfId="0" applyFont="1" applyBorder="1"/>
    <xf numFmtId="0" fontId="1" fillId="0" borderId="2" xfId="0" applyFont="1" applyBorder="1"/>
    <xf numFmtId="0" fontId="1" fillId="0" borderId="3" xfId="0" applyFont="1" applyBorder="1"/>
    <xf numFmtId="0" fontId="1" fillId="0" borderId="4" xfId="0" applyFont="1" applyBorder="1"/>
    <xf numFmtId="0" fontId="4" fillId="0" borderId="0" xfId="1" applyFont="1" applyBorder="1"/>
    <xf numFmtId="0" fontId="1" fillId="0" borderId="5" xfId="0" applyFont="1" applyBorder="1"/>
    <xf numFmtId="0" fontId="1" fillId="0" borderId="6" xfId="0" applyFont="1" applyBorder="1"/>
    <xf numFmtId="0" fontId="1" fillId="0" borderId="7" xfId="0" applyFont="1" applyBorder="1"/>
    <xf numFmtId="0" fontId="1" fillId="0" borderId="8" xfId="0" applyFont="1" applyBorder="1"/>
    <xf numFmtId="0" fontId="2" fillId="0" borderId="1" xfId="0" applyFont="1" applyBorder="1"/>
    <xf numFmtId="0" fontId="2" fillId="3" borderId="0" xfId="0" applyFont="1" applyFill="1"/>
    <xf numFmtId="0" fontId="5" fillId="0" borderId="0" xfId="0" applyFont="1"/>
    <xf numFmtId="0" fontId="2" fillId="0" borderId="9" xfId="0" applyFont="1" applyBorder="1"/>
    <xf numFmtId="0" fontId="2" fillId="0" borderId="10" xfId="0" applyFont="1" applyBorder="1"/>
    <xf numFmtId="0" fontId="2" fillId="0" borderId="11" xfId="0" applyFont="1" applyBorder="1"/>
    <xf numFmtId="0" fontId="1" fillId="0" borderId="0" xfId="0" applyFont="1" applyAlignment="1">
      <alignment horizontal="center"/>
    </xf>
    <xf numFmtId="14" fontId="1" fillId="0" borderId="7" xfId="0" applyNumberFormat="1" applyFont="1" applyBorder="1" applyAlignment="1">
      <alignment horizontal="center"/>
    </xf>
    <xf numFmtId="37" fontId="1" fillId="0" borderId="0" xfId="0" applyNumberFormat="1" applyFont="1" applyAlignment="1">
      <alignment horizontal="center"/>
    </xf>
    <xf numFmtId="37" fontId="1" fillId="0" borderId="12" xfId="0" applyNumberFormat="1" applyFont="1" applyBorder="1" applyAlignment="1">
      <alignment horizontal="center"/>
    </xf>
    <xf numFmtId="3" fontId="1" fillId="0" borderId="0" xfId="0" applyNumberFormat="1" applyFont="1"/>
    <xf numFmtId="9" fontId="1" fillId="0" borderId="0" xfId="0" applyNumberFormat="1" applyFont="1"/>
    <xf numFmtId="3" fontId="7" fillId="2" borderId="0" xfId="0" applyNumberFormat="1" applyFont="1" applyFill="1"/>
    <xf numFmtId="3" fontId="8" fillId="0" borderId="0" xfId="0" applyNumberFormat="1" applyFont="1"/>
    <xf numFmtId="37" fontId="8" fillId="0" borderId="12" xfId="0" applyNumberFormat="1" applyFont="1" applyBorder="1" applyAlignment="1">
      <alignment horizontal="center"/>
    </xf>
    <xf numFmtId="0" fontId="1" fillId="0" borderId="0" xfId="0" applyFont="1" applyAlignment="1">
      <alignment horizontal="right"/>
    </xf>
    <xf numFmtId="0" fontId="9" fillId="0" borderId="0" xfId="0" applyFont="1"/>
    <xf numFmtId="3" fontId="9" fillId="0" borderId="0" xfId="0" applyNumberFormat="1" applyFont="1"/>
    <xf numFmtId="3" fontId="1" fillId="2" borderId="0" xfId="0" applyNumberFormat="1" applyFont="1" applyFill="1"/>
    <xf numFmtId="0" fontId="1" fillId="0" borderId="9" xfId="0" applyFont="1" applyBorder="1"/>
    <xf numFmtId="0" fontId="1" fillId="0" borderId="10" xfId="0" applyFont="1" applyBorder="1"/>
    <xf numFmtId="0" fontId="1" fillId="0" borderId="11" xfId="0" applyFont="1" applyBorder="1"/>
    <xf numFmtId="14" fontId="1" fillId="0" borderId="0" xfId="0" applyNumberFormat="1" applyFont="1"/>
    <xf numFmtId="14" fontId="1" fillId="0" borderId="13" xfId="0" applyNumberFormat="1" applyFont="1" applyBorder="1" applyAlignment="1">
      <alignment horizontal="center"/>
    </xf>
    <xf numFmtId="0" fontId="1" fillId="0" borderId="12" xfId="0" applyFont="1" applyBorder="1"/>
    <xf numFmtId="3" fontId="1" fillId="0" borderId="0" xfId="0" applyNumberFormat="1" applyFont="1" applyAlignment="1">
      <alignment horizontal="center"/>
    </xf>
    <xf numFmtId="3" fontId="1" fillId="0" borderId="12" xfId="0" applyNumberFormat="1" applyFont="1" applyBorder="1" applyAlignment="1">
      <alignment horizontal="center"/>
    </xf>
    <xf numFmtId="0" fontId="1" fillId="0" borderId="13" xfId="0" applyFont="1" applyBorder="1" applyAlignment="1">
      <alignment horizontal="center"/>
    </xf>
    <xf numFmtId="0" fontId="1" fillId="2" borderId="0" xfId="0" applyFont="1" applyFill="1"/>
    <xf numFmtId="0" fontId="1" fillId="4" borderId="0" xfId="0" applyFont="1" applyFill="1"/>
    <xf numFmtId="37" fontId="1" fillId="5" borderId="0" xfId="0" applyNumberFormat="1" applyFont="1" applyFill="1" applyAlignment="1">
      <alignment horizontal="center"/>
    </xf>
    <xf numFmtId="3" fontId="1" fillId="5" borderId="0" xfId="0" applyNumberFormat="1" applyFont="1" applyFill="1"/>
    <xf numFmtId="0" fontId="10" fillId="0" borderId="0" xfId="0" applyFont="1"/>
    <xf numFmtId="0" fontId="1" fillId="6" borderId="0" xfId="0" applyFont="1" applyFill="1"/>
    <xf numFmtId="0" fontId="11" fillId="0" borderId="0" xfId="0" applyFont="1"/>
    <xf numFmtId="14" fontId="11" fillId="0" borderId="13" xfId="0" applyNumberFormat="1" applyFont="1" applyBorder="1"/>
    <xf numFmtId="14" fontId="1" fillId="0" borderId="13" xfId="0" applyNumberFormat="1" applyFont="1" applyBorder="1"/>
    <xf numFmtId="14" fontId="2" fillId="0" borderId="13" xfId="0" applyNumberFormat="1" applyFont="1" applyBorder="1"/>
    <xf numFmtId="3" fontId="1" fillId="0" borderId="12" xfId="0" applyNumberFormat="1" applyFont="1" applyBorder="1"/>
    <xf numFmtId="3" fontId="1" fillId="2" borderId="12" xfId="0" applyNumberFormat="1" applyFont="1" applyFill="1" applyBorder="1"/>
    <xf numFmtId="2" fontId="1" fillId="0" borderId="0" xfId="0" applyNumberFormat="1" applyFont="1"/>
    <xf numFmtId="1" fontId="1" fillId="0" borderId="0" xfId="0" applyNumberFormat="1" applyFont="1"/>
    <xf numFmtId="3" fontId="10" fillId="0" borderId="0" xfId="0" applyNumberFormat="1" applyFont="1"/>
    <xf numFmtId="14" fontId="1" fillId="0" borderId="0" xfId="0" applyNumberFormat="1" applyFont="1" applyAlignment="1">
      <alignment horizontal="center"/>
    </xf>
    <xf numFmtId="14" fontId="12" fillId="0" borderId="0" xfId="0" applyNumberFormat="1" applyFont="1" applyAlignment="1">
      <alignment horizontal="center"/>
    </xf>
    <xf numFmtId="0" fontId="2" fillId="8" borderId="0" xfId="0" applyFont="1" applyFill="1"/>
    <xf numFmtId="0" fontId="1" fillId="8" borderId="0" xfId="0" applyFont="1" applyFill="1"/>
    <xf numFmtId="0" fontId="1" fillId="9" borderId="0" xfId="0" applyFont="1" applyFill="1"/>
    <xf numFmtId="0" fontId="2" fillId="9" borderId="0" xfId="0" applyFont="1" applyFill="1"/>
    <xf numFmtId="0" fontId="2" fillId="9" borderId="1" xfId="0" applyFont="1" applyFill="1" applyBorder="1"/>
    <xf numFmtId="0" fontId="2" fillId="9" borderId="2" xfId="0" applyFont="1" applyFill="1" applyBorder="1"/>
    <xf numFmtId="0" fontId="2" fillId="9" borderId="3" xfId="0" applyFont="1" applyFill="1" applyBorder="1"/>
    <xf numFmtId="0" fontId="2" fillId="9" borderId="6" xfId="0" applyFont="1" applyFill="1" applyBorder="1"/>
    <xf numFmtId="0" fontId="2" fillId="9" borderId="7" xfId="0" applyFont="1" applyFill="1" applyBorder="1"/>
    <xf numFmtId="0" fontId="2" fillId="9" borderId="8" xfId="0" applyFont="1" applyFill="1" applyBorder="1"/>
    <xf numFmtId="3" fontId="1" fillId="0" borderId="14" xfId="0" applyNumberFormat="1" applyFont="1" applyBorder="1"/>
    <xf numFmtId="0" fontId="1" fillId="2" borderId="0" xfId="0" applyFont="1" applyFill="1" applyAlignment="1">
      <alignment horizontal="center"/>
    </xf>
    <xf numFmtId="0" fontId="2" fillId="10" borderId="0" xfId="0" applyFont="1" applyFill="1"/>
    <xf numFmtId="14" fontId="2" fillId="10" borderId="0" xfId="0" applyNumberFormat="1" applyFont="1" applyFill="1"/>
    <xf numFmtId="0" fontId="2" fillId="7" borderId="0" xfId="0" applyFont="1" applyFill="1"/>
    <xf numFmtId="37" fontId="1" fillId="0" borderId="0" xfId="0" applyNumberFormat="1" applyFont="1"/>
    <xf numFmtId="37" fontId="1" fillId="0" borderId="12" xfId="0" applyNumberFormat="1" applyFont="1" applyBorder="1"/>
    <xf numFmtId="0" fontId="1" fillId="7" borderId="0" xfId="0" applyFont="1" applyFill="1"/>
    <xf numFmtId="37" fontId="1" fillId="0" borderId="15" xfId="0" applyNumberFormat="1" applyFont="1" applyBorder="1" applyAlignment="1">
      <alignment horizontal="center"/>
    </xf>
    <xf numFmtId="3" fontId="1" fillId="7" borderId="0" xfId="0" applyNumberFormat="1" applyFont="1" applyFill="1"/>
    <xf numFmtId="37" fontId="1" fillId="7" borderId="0" xfId="0" applyNumberFormat="1" applyFont="1" applyFill="1" applyAlignment="1">
      <alignment horizontal="center"/>
    </xf>
    <xf numFmtId="0" fontId="1" fillId="2" borderId="16" xfId="0" applyFont="1" applyFill="1" applyBorder="1" applyAlignment="1">
      <alignment horizontal="center"/>
    </xf>
    <xf numFmtId="0" fontId="1" fillId="11" borderId="16" xfId="0" applyFont="1" applyFill="1" applyBorder="1" applyAlignment="1">
      <alignment horizontal="center"/>
    </xf>
    <xf numFmtId="0" fontId="1" fillId="2" borderId="17" xfId="0" applyFont="1" applyFill="1" applyBorder="1" applyAlignment="1">
      <alignment horizontal="center"/>
    </xf>
    <xf numFmtId="0" fontId="1" fillId="11" borderId="17" xfId="0" applyFont="1" applyFill="1" applyBorder="1" applyAlignment="1">
      <alignment horizontal="center"/>
    </xf>
    <xf numFmtId="0" fontId="1" fillId="2" borderId="18" xfId="0" applyFont="1" applyFill="1" applyBorder="1" applyAlignment="1">
      <alignment horizontal="center"/>
    </xf>
    <xf numFmtId="0" fontId="1" fillId="11" borderId="18" xfId="0" applyFont="1" applyFill="1" applyBorder="1" applyAlignment="1">
      <alignment horizontal="center"/>
    </xf>
    <xf numFmtId="0" fontId="1" fillId="12" borderId="16" xfId="0" applyFont="1" applyFill="1" applyBorder="1" applyAlignment="1">
      <alignment horizontal="center"/>
    </xf>
    <xf numFmtId="0" fontId="1" fillId="12" borderId="17" xfId="0" applyFont="1" applyFill="1" applyBorder="1" applyAlignment="1">
      <alignment horizontal="center"/>
    </xf>
    <xf numFmtId="0" fontId="1" fillId="3" borderId="1" xfId="0" applyFont="1" applyFill="1" applyBorder="1"/>
    <xf numFmtId="0" fontId="1" fillId="3" borderId="3" xfId="0" applyFont="1" applyFill="1" applyBorder="1"/>
    <xf numFmtId="0" fontId="1" fillId="3" borderId="4" xfId="0" applyFont="1" applyFill="1" applyBorder="1"/>
    <xf numFmtId="0" fontId="1" fillId="3" borderId="5" xfId="0" applyFont="1" applyFill="1" applyBorder="1"/>
    <xf numFmtId="0" fontId="1" fillId="12" borderId="18" xfId="0" applyFont="1" applyFill="1" applyBorder="1" applyAlignment="1">
      <alignment horizontal="center"/>
    </xf>
    <xf numFmtId="0" fontId="1" fillId="3" borderId="6" xfId="0" applyFont="1" applyFill="1" applyBorder="1"/>
    <xf numFmtId="0" fontId="1" fillId="3" borderId="8" xfId="0" applyFont="1" applyFill="1" applyBorder="1"/>
    <xf numFmtId="0" fontId="1" fillId="0" borderId="13" xfId="0" applyFont="1" applyBorder="1"/>
    <xf numFmtId="3" fontId="1" fillId="0" borderId="19" xfId="0" applyNumberFormat="1" applyFont="1" applyBorder="1"/>
    <xf numFmtId="0" fontId="13" fillId="0" borderId="0" xfId="0" applyFont="1"/>
    <xf numFmtId="14" fontId="2" fillId="2" borderId="0" xfId="0" applyNumberFormat="1" applyFont="1" applyFill="1"/>
    <xf numFmtId="0" fontId="2" fillId="13" borderId="0" xfId="0" applyFont="1" applyFill="1"/>
    <xf numFmtId="0" fontId="1" fillId="13" borderId="0" xfId="0" applyFont="1" applyFill="1"/>
    <xf numFmtId="3" fontId="1" fillId="6" borderId="0" xfId="0" applyNumberFormat="1" applyFont="1" applyFill="1" applyAlignment="1">
      <alignment horizontal="center"/>
    </xf>
    <xf numFmtId="0" fontId="14" fillId="2" borderId="0" xfId="0" applyFont="1" applyFill="1"/>
    <xf numFmtId="3" fontId="2" fillId="0" borderId="0" xfId="0" applyNumberFormat="1" applyFont="1"/>
    <xf numFmtId="14" fontId="1" fillId="2" borderId="13" xfId="0" applyNumberFormat="1" applyFont="1" applyFill="1" applyBorder="1"/>
    <xf numFmtId="0" fontId="7" fillId="0" borderId="0" xfId="0" applyFont="1"/>
    <xf numFmtId="0" fontId="15" fillId="0" borderId="0" xfId="0" applyFont="1"/>
    <xf numFmtId="0" fontId="15" fillId="0" borderId="0" xfId="0" applyFont="1" applyAlignment="1">
      <alignment horizontal="center"/>
    </xf>
    <xf numFmtId="0" fontId="11" fillId="2" borderId="0" xfId="0" applyFont="1" applyFill="1"/>
    <xf numFmtId="0" fontId="11" fillId="2" borderId="0" xfId="0" applyFont="1" applyFill="1" applyAlignment="1">
      <alignment horizontal="center"/>
    </xf>
    <xf numFmtId="14" fontId="11" fillId="2" borderId="13" xfId="0" applyNumberFormat="1" applyFont="1" applyFill="1" applyBorder="1" applyAlignment="1">
      <alignment horizontal="center"/>
    </xf>
    <xf numFmtId="3" fontId="11" fillId="0" borderId="0" xfId="0" applyNumberFormat="1" applyFont="1" applyAlignment="1">
      <alignment horizontal="center"/>
    </xf>
    <xf numFmtId="0" fontId="11" fillId="0" borderId="0" xfId="0" applyFont="1" applyAlignment="1">
      <alignment horizontal="center"/>
    </xf>
    <xf numFmtId="14" fontId="11" fillId="0" borderId="13" xfId="0" applyNumberFormat="1" applyFont="1" applyBorder="1" applyAlignment="1">
      <alignment horizontal="center"/>
    </xf>
    <xf numFmtId="37" fontId="15" fillId="0" borderId="0" xfId="0" applyNumberFormat="1" applyFont="1"/>
    <xf numFmtId="37" fontId="11" fillId="0" borderId="0" xfId="0" applyNumberFormat="1" applyFont="1"/>
    <xf numFmtId="37" fontId="11" fillId="0" borderId="12" xfId="0" applyNumberFormat="1" applyFont="1" applyBorder="1"/>
    <xf numFmtId="0" fontId="16" fillId="0" borderId="0" xfId="0" applyFont="1"/>
    <xf numFmtId="0" fontId="17" fillId="0" borderId="0" xfId="0" applyFont="1"/>
    <xf numFmtId="0" fontId="17" fillId="2" borderId="0" xfId="0" applyFont="1" applyFill="1"/>
    <xf numFmtId="0" fontId="18" fillId="0" borderId="0" xfId="0" applyFont="1"/>
    <xf numFmtId="0" fontId="17" fillId="0" borderId="14" xfId="0" applyFont="1" applyBorder="1"/>
    <xf numFmtId="0" fontId="18" fillId="0" borderId="9" xfId="0" applyFont="1" applyBorder="1"/>
    <xf numFmtId="0" fontId="17" fillId="0" borderId="10" xfId="0" applyFont="1" applyBorder="1"/>
    <xf numFmtId="0" fontId="17" fillId="0" borderId="11" xfId="0" applyFont="1" applyBorder="1"/>
    <xf numFmtId="0" fontId="18" fillId="2" borderId="0" xfId="0" applyFont="1" applyFill="1"/>
    <xf numFmtId="0" fontId="17" fillId="0" borderId="13" xfId="0" applyFont="1" applyBorder="1"/>
    <xf numFmtId="14" fontId="17" fillId="0" borderId="0" xfId="0" applyNumberFormat="1" applyFont="1"/>
    <xf numFmtId="3" fontId="17" fillId="0" borderId="0" xfId="0" applyNumberFormat="1" applyFont="1"/>
    <xf numFmtId="14" fontId="17" fillId="0" borderId="13" xfId="0" applyNumberFormat="1" applyFont="1" applyBorder="1" applyAlignment="1">
      <alignment horizontal="center"/>
    </xf>
    <xf numFmtId="3" fontId="17" fillId="0" borderId="0" xfId="0" applyNumberFormat="1" applyFont="1" applyAlignment="1">
      <alignment horizontal="center"/>
    </xf>
    <xf numFmtId="0" fontId="17" fillId="0" borderId="0" xfId="0" applyFont="1" applyAlignment="1">
      <alignment horizontal="center"/>
    </xf>
    <xf numFmtId="3" fontId="17" fillId="0" borderId="12" xfId="0" applyNumberFormat="1" applyFont="1" applyBorder="1" applyAlignment="1">
      <alignment horizontal="center"/>
    </xf>
    <xf numFmtId="0" fontId="17" fillId="0" borderId="12" xfId="0" applyFont="1" applyBorder="1"/>
    <xf numFmtId="3" fontId="17" fillId="0" borderId="12" xfId="0" applyNumberFormat="1" applyFont="1" applyBorder="1"/>
    <xf numFmtId="0" fontId="17" fillId="12" borderId="0" xfId="0" applyFont="1" applyFill="1" applyAlignment="1">
      <alignment horizontal="center"/>
    </xf>
    <xf numFmtId="0" fontId="17" fillId="0" borderId="13" xfId="0" applyFont="1" applyBorder="1" applyAlignment="1">
      <alignment horizontal="center"/>
    </xf>
    <xf numFmtId="9" fontId="17" fillId="0" borderId="0" xfId="0" applyNumberFormat="1" applyFont="1"/>
    <xf numFmtId="3" fontId="17" fillId="2" borderId="0" xfId="0" applyNumberFormat="1" applyFont="1" applyFill="1"/>
    <xf numFmtId="3" fontId="18" fillId="14" borderId="0" xfId="0" applyNumberFormat="1" applyFont="1" applyFill="1"/>
    <xf numFmtId="0" fontId="17" fillId="15" borderId="0" xfId="0" applyFont="1" applyFill="1"/>
    <xf numFmtId="3" fontId="17" fillId="15" borderId="0" xfId="0" applyNumberFormat="1" applyFont="1" applyFill="1"/>
    <xf numFmtId="14" fontId="17" fillId="0" borderId="13" xfId="0" applyNumberFormat="1" applyFont="1" applyBorder="1"/>
    <xf numFmtId="14" fontId="17" fillId="15" borderId="13" xfId="0" applyNumberFormat="1" applyFont="1" applyFill="1" applyBorder="1"/>
    <xf numFmtId="0" fontId="20" fillId="0" borderId="0" xfId="0" applyFont="1"/>
    <xf numFmtId="0" fontId="18" fillId="15" borderId="0" xfId="0" applyFont="1" applyFill="1"/>
    <xf numFmtId="0" fontId="17" fillId="16" borderId="0" xfId="0" applyFont="1" applyFill="1"/>
    <xf numFmtId="0" fontId="17" fillId="2" borderId="13" xfId="0" applyFont="1" applyFill="1" applyBorder="1"/>
    <xf numFmtId="0" fontId="22" fillId="0" borderId="0" xfId="0" applyFont="1"/>
    <xf numFmtId="0" fontId="23" fillId="0" borderId="0" xfId="0" applyFont="1"/>
    <xf numFmtId="0" fontId="24" fillId="0" borderId="0" xfId="0" applyFont="1"/>
    <xf numFmtId="14" fontId="17" fillId="15" borderId="13" xfId="0" applyNumberFormat="1" applyFont="1" applyFill="1" applyBorder="1" applyAlignment="1">
      <alignment horizontal="center"/>
    </xf>
    <xf numFmtId="3" fontId="17" fillId="15" borderId="0" xfId="0" applyNumberFormat="1" applyFont="1" applyFill="1" applyAlignment="1">
      <alignment horizontal="center"/>
    </xf>
    <xf numFmtId="0" fontId="17" fillId="15" borderId="0" xfId="0" applyFont="1" applyFill="1" applyAlignment="1">
      <alignment horizontal="center"/>
    </xf>
    <xf numFmtId="9" fontId="17" fillId="0" borderId="0" xfId="0" applyNumberFormat="1" applyFont="1" applyAlignment="1">
      <alignment horizontal="center"/>
    </xf>
    <xf numFmtId="1" fontId="17" fillId="0" borderId="0" xfId="0" applyNumberFormat="1" applyFont="1" applyAlignment="1">
      <alignment horizontal="center"/>
    </xf>
    <xf numFmtId="1" fontId="17" fillId="2" borderId="0" xfId="0" applyNumberFormat="1" applyFont="1" applyFill="1" applyAlignment="1">
      <alignment horizontal="center"/>
    </xf>
    <xf numFmtId="3" fontId="17" fillId="2" borderId="0" xfId="0" applyNumberFormat="1" applyFont="1" applyFill="1" applyAlignment="1">
      <alignment horizontal="center"/>
    </xf>
    <xf numFmtId="0" fontId="18" fillId="13" borderId="0" xfId="0" applyFont="1" applyFill="1"/>
    <xf numFmtId="0" fontId="18" fillId="13" borderId="0" xfId="0" applyFont="1" applyFill="1" applyAlignment="1">
      <alignment horizontal="center"/>
    </xf>
    <xf numFmtId="0" fontId="17" fillId="6" borderId="0" xfId="0" applyFont="1" applyFill="1" applyAlignment="1">
      <alignment horizontal="center"/>
    </xf>
    <xf numFmtId="0" fontId="17" fillId="2" borderId="0" xfId="0" applyFont="1" applyFill="1" applyAlignment="1">
      <alignment horizontal="center"/>
    </xf>
    <xf numFmtId="3" fontId="17" fillId="17" borderId="0" xfId="0" applyNumberFormat="1" applyFont="1" applyFill="1" applyAlignment="1">
      <alignment horizontal="center"/>
    </xf>
    <xf numFmtId="164" fontId="17" fillId="0" borderId="0" xfId="0" applyNumberFormat="1" applyFont="1" applyAlignment="1">
      <alignment horizontal="center"/>
    </xf>
    <xf numFmtId="3" fontId="17" fillId="10" borderId="0" xfId="0" applyNumberFormat="1" applyFont="1" applyFill="1" applyAlignment="1">
      <alignment horizontal="center"/>
    </xf>
    <xf numFmtId="1" fontId="17" fillId="15" borderId="0" xfId="0" applyNumberFormat="1" applyFont="1" applyFill="1" applyAlignment="1">
      <alignment horizontal="center"/>
    </xf>
    <xf numFmtId="0" fontId="17" fillId="0" borderId="16" xfId="0" applyFont="1" applyBorder="1" applyAlignment="1">
      <alignment horizontal="center"/>
    </xf>
    <xf numFmtId="14" fontId="17" fillId="0" borderId="20" xfId="0" applyNumberFormat="1" applyFont="1" applyBorder="1" applyAlignment="1">
      <alignment horizontal="center"/>
    </xf>
    <xf numFmtId="3" fontId="17" fillId="0" borderId="17" xfId="0" applyNumberFormat="1" applyFont="1" applyBorder="1" applyAlignment="1">
      <alignment horizontal="center"/>
    </xf>
    <xf numFmtId="1" fontId="17" fillId="0" borderId="17" xfId="0" applyNumberFormat="1" applyFont="1" applyBorder="1" applyAlignment="1">
      <alignment horizontal="center"/>
    </xf>
    <xf numFmtId="3" fontId="17" fillId="2" borderId="17" xfId="0" applyNumberFormat="1" applyFont="1" applyFill="1" applyBorder="1" applyAlignment="1">
      <alignment horizontal="center"/>
    </xf>
    <xf numFmtId="0" fontId="17" fillId="0" borderId="17" xfId="0" applyFont="1" applyBorder="1" applyAlignment="1">
      <alignment horizontal="center"/>
    </xf>
    <xf numFmtId="0" fontId="17" fillId="0" borderId="17" xfId="0" applyFont="1" applyBorder="1"/>
    <xf numFmtId="3" fontId="17" fillId="0" borderId="18" xfId="0" applyNumberFormat="1" applyFont="1" applyBorder="1" applyAlignment="1">
      <alignment horizontal="center"/>
    </xf>
    <xf numFmtId="14" fontId="17" fillId="0" borderId="0" xfId="0" applyNumberFormat="1" applyFont="1" applyAlignment="1">
      <alignment horizontal="center"/>
    </xf>
    <xf numFmtId="1" fontId="18" fillId="13" borderId="0" xfId="0" applyNumberFormat="1" applyFont="1" applyFill="1" applyAlignment="1">
      <alignment horizontal="center"/>
    </xf>
    <xf numFmtId="1" fontId="18" fillId="0" borderId="0" xfId="0" applyNumberFormat="1" applyFont="1"/>
    <xf numFmtId="1" fontId="18" fillId="13" borderId="0" xfId="0" applyNumberFormat="1" applyFont="1" applyFill="1"/>
    <xf numFmtId="0" fontId="2" fillId="0" borderId="2" xfId="0" applyFont="1" applyBorder="1"/>
    <xf numFmtId="0" fontId="2" fillId="0" borderId="3" xfId="0" applyFont="1" applyBorder="1"/>
    <xf numFmtId="0" fontId="27" fillId="18" borderId="9" xfId="0" applyFont="1" applyFill="1" applyBorder="1"/>
    <xf numFmtId="0" fontId="28" fillId="18" borderId="10" xfId="0" applyFont="1" applyFill="1" applyBorder="1"/>
    <xf numFmtId="0" fontId="28" fillId="18" borderId="11" xfId="0" applyFont="1" applyFill="1" applyBorder="1"/>
    <xf numFmtId="37" fontId="1" fillId="2" borderId="0" xfId="0" applyNumberFormat="1" applyFont="1" applyFill="1" applyAlignment="1">
      <alignment horizontal="center"/>
    </xf>
    <xf numFmtId="9" fontId="1" fillId="0" borderId="0" xfId="0" applyNumberFormat="1" applyFont="1" applyAlignment="1">
      <alignment horizontal="center"/>
    </xf>
    <xf numFmtId="14" fontId="1" fillId="0" borderId="21" xfId="0" applyNumberFormat="1" applyFont="1" applyBorder="1" applyAlignment="1">
      <alignment horizontal="center"/>
    </xf>
    <xf numFmtId="37" fontId="1" fillId="0" borderId="5" xfId="0" applyNumberFormat="1" applyFont="1" applyBorder="1" applyAlignment="1">
      <alignment horizontal="center"/>
    </xf>
    <xf numFmtId="37" fontId="1" fillId="2" borderId="5" xfId="0" applyNumberFormat="1" applyFont="1" applyFill="1" applyBorder="1" applyAlignment="1">
      <alignment horizontal="center"/>
    </xf>
    <xf numFmtId="0" fontId="1" fillId="0" borderId="7" xfId="0" applyFont="1" applyBorder="1" applyAlignment="1">
      <alignment horizontal="center"/>
    </xf>
    <xf numFmtId="37" fontId="1" fillId="0" borderId="8" xfId="0" applyNumberFormat="1" applyFont="1" applyBorder="1" applyAlignment="1">
      <alignment horizontal="center"/>
    </xf>
    <xf numFmtId="0" fontId="1" fillId="0" borderId="2" xfId="0" applyFont="1" applyBorder="1" applyAlignment="1">
      <alignment horizontal="center"/>
    </xf>
    <xf numFmtId="37" fontId="1" fillId="0" borderId="3" xfId="0" applyNumberFormat="1" applyFont="1" applyBorder="1" applyAlignment="1">
      <alignment horizontal="center"/>
    </xf>
    <xf numFmtId="37" fontId="1" fillId="2" borderId="0" xfId="0" applyNumberFormat="1" applyFont="1" applyFill="1"/>
    <xf numFmtId="37" fontId="2" fillId="0" borderId="12" xfId="0" applyNumberFormat="1" applyFont="1" applyBorder="1"/>
    <xf numFmtId="0" fontId="29" fillId="0" borderId="0" xfId="0" applyFont="1"/>
    <xf numFmtId="1" fontId="1" fillId="18" borderId="0" xfId="0" applyNumberFormat="1" applyFont="1" applyFill="1"/>
    <xf numFmtId="0" fontId="5" fillId="0" borderId="0" xfId="0" applyFont="1" applyAlignment="1">
      <alignment readingOrder="2"/>
    </xf>
    <xf numFmtId="0" fontId="5" fillId="0" borderId="0" xfId="0" applyFont="1" applyAlignment="1">
      <alignment readingOrder="1"/>
    </xf>
    <xf numFmtId="37" fontId="5" fillId="2" borderId="0" xfId="0" applyNumberFormat="1" applyFont="1" applyFill="1" applyAlignment="1">
      <alignment readingOrder="1"/>
    </xf>
    <xf numFmtId="9" fontId="5" fillId="0" borderId="0" xfId="0" applyNumberFormat="1" applyFont="1" applyAlignment="1">
      <alignment readingOrder="2"/>
    </xf>
    <xf numFmtId="3" fontId="5" fillId="0" borderId="0" xfId="0" applyNumberFormat="1" applyFont="1" applyAlignment="1">
      <alignment readingOrder="2"/>
    </xf>
    <xf numFmtId="37" fontId="5" fillId="0" borderId="0" xfId="0" applyNumberFormat="1" applyFont="1" applyAlignment="1">
      <alignment readingOrder="1"/>
    </xf>
    <xf numFmtId="37" fontId="5" fillId="2" borderId="0" xfId="0" applyNumberFormat="1" applyFont="1" applyFill="1" applyAlignment="1">
      <alignment readingOrder="2"/>
    </xf>
    <xf numFmtId="1" fontId="1" fillId="2" borderId="0" xfId="0" applyNumberFormat="1" applyFont="1" applyFill="1"/>
    <xf numFmtId="1" fontId="1" fillId="0" borderId="14" xfId="0" applyNumberFormat="1" applyFont="1" applyBorder="1"/>
    <xf numFmtId="37" fontId="1" fillId="0" borderId="14" xfId="0" applyNumberFormat="1" applyFont="1" applyBorder="1" applyAlignment="1">
      <alignment horizontal="center"/>
    </xf>
    <xf numFmtId="0" fontId="2" fillId="0" borderId="13" xfId="0" applyFont="1" applyBorder="1"/>
    <xf numFmtId="14" fontId="1" fillId="2" borderId="13" xfId="0" applyNumberFormat="1" applyFont="1" applyFill="1" applyBorder="1" applyAlignment="1">
      <alignment horizontal="center"/>
    </xf>
    <xf numFmtId="0" fontId="1" fillId="6" borderId="0" xfId="0" applyFont="1" applyFill="1" applyAlignment="1">
      <alignment horizontal="center"/>
    </xf>
    <xf numFmtId="0" fontId="2" fillId="19" borderId="0" xfId="0" applyFont="1" applyFill="1"/>
    <xf numFmtId="0" fontId="1" fillId="5" borderId="0" xfId="0" applyFont="1" applyFill="1"/>
    <xf numFmtId="0" fontId="30" fillId="0" borderId="0" xfId="0" applyFont="1"/>
    <xf numFmtId="0" fontId="2" fillId="0" borderId="0" xfId="0" applyFont="1" applyAlignment="1">
      <alignment horizontal="center"/>
    </xf>
    <xf numFmtId="3" fontId="1" fillId="0" borderId="5" xfId="0" applyNumberFormat="1" applyFont="1" applyBorder="1" applyAlignment="1">
      <alignment horizontal="center"/>
    </xf>
    <xf numFmtId="0" fontId="1" fillId="0" borderId="5" xfId="0" applyFont="1" applyBorder="1" applyAlignment="1">
      <alignment horizontal="center"/>
    </xf>
    <xf numFmtId="3" fontId="1" fillId="0" borderId="22" xfId="0" applyNumberFormat="1" applyFont="1" applyBorder="1" applyAlignment="1">
      <alignment horizontal="center"/>
    </xf>
    <xf numFmtId="0" fontId="1" fillId="0" borderId="8" xfId="0" applyFont="1" applyBorder="1" applyAlignment="1">
      <alignment horizontal="center"/>
    </xf>
    <xf numFmtId="165" fontId="1" fillId="0" borderId="12" xfId="0" applyNumberFormat="1" applyFont="1" applyBorder="1" applyAlignment="1">
      <alignment horizontal="center"/>
    </xf>
    <xf numFmtId="37" fontId="11" fillId="0" borderId="5" xfId="0" applyNumberFormat="1" applyFont="1" applyBorder="1" applyAlignment="1">
      <alignment horizontal="center"/>
    </xf>
    <xf numFmtId="0" fontId="11" fillId="0" borderId="5" xfId="0" applyFont="1" applyBorder="1" applyAlignment="1">
      <alignment horizontal="center"/>
    </xf>
    <xf numFmtId="3" fontId="11" fillId="0" borderId="22" xfId="0" applyNumberFormat="1" applyFont="1" applyBorder="1" applyAlignment="1">
      <alignment horizontal="center"/>
    </xf>
    <xf numFmtId="0" fontId="15" fillId="0" borderId="8" xfId="0" applyFont="1" applyBorder="1"/>
    <xf numFmtId="0" fontId="11" fillId="0" borderId="13" xfId="0" applyFont="1" applyBorder="1" applyAlignment="1">
      <alignment horizontal="center"/>
    </xf>
    <xf numFmtId="37" fontId="11" fillId="0" borderId="0" xfId="0" applyNumberFormat="1" applyFont="1" applyAlignment="1">
      <alignment horizontal="center"/>
    </xf>
    <xf numFmtId="37" fontId="11" fillId="0" borderId="12" xfId="0" applyNumberFormat="1" applyFont="1" applyBorder="1" applyAlignment="1">
      <alignment horizontal="center"/>
    </xf>
    <xf numFmtId="9" fontId="11" fillId="0" borderId="0" xfId="0" applyNumberFormat="1" applyFont="1" applyAlignment="1">
      <alignment horizontal="center"/>
    </xf>
    <xf numFmtId="14" fontId="11" fillId="0" borderId="21" xfId="0" applyNumberFormat="1" applyFont="1" applyBorder="1" applyAlignment="1">
      <alignment horizontal="center"/>
    </xf>
    <xf numFmtId="3" fontId="11" fillId="0" borderId="5" xfId="0" applyNumberFormat="1" applyFont="1" applyBorder="1" applyAlignment="1">
      <alignment horizontal="center"/>
    </xf>
    <xf numFmtId="0" fontId="15" fillId="0" borderId="5" xfId="0" applyFont="1" applyBorder="1"/>
    <xf numFmtId="37" fontId="15" fillId="6" borderId="5" xfId="0" applyNumberFormat="1" applyFont="1" applyFill="1" applyBorder="1" applyAlignment="1">
      <alignment horizontal="center"/>
    </xf>
    <xf numFmtId="0" fontId="15" fillId="6" borderId="5" xfId="0" applyFont="1" applyFill="1" applyBorder="1" applyAlignment="1">
      <alignment horizontal="center"/>
    </xf>
    <xf numFmtId="0" fontId="15" fillId="0" borderId="5" xfId="0" applyFont="1" applyBorder="1" applyAlignment="1">
      <alignment horizontal="center"/>
    </xf>
    <xf numFmtId="0" fontId="15" fillId="6" borderId="8" xfId="0" applyFont="1" applyFill="1" applyBorder="1"/>
    <xf numFmtId="37" fontId="1" fillId="0" borderId="0" xfId="0" applyNumberFormat="1" applyFont="1" applyAlignment="1">
      <alignment horizontal="right"/>
    </xf>
    <xf numFmtId="3" fontId="10" fillId="0" borderId="12" xfId="0" applyNumberFormat="1" applyFont="1" applyBorder="1"/>
    <xf numFmtId="3" fontId="31" fillId="0" borderId="0" xfId="0" applyNumberFormat="1" applyFont="1"/>
    <xf numFmtId="37" fontId="31" fillId="0" borderId="0" xfId="0" applyNumberFormat="1" applyFont="1"/>
    <xf numFmtId="3" fontId="2" fillId="0" borderId="11" xfId="0" applyNumberFormat="1" applyFont="1" applyBorder="1"/>
    <xf numFmtId="37" fontId="11" fillId="0" borderId="8" xfId="0" applyNumberFormat="1" applyFont="1" applyBorder="1" applyAlignment="1">
      <alignment horizontal="center"/>
    </xf>
    <xf numFmtId="37" fontId="11" fillId="0" borderId="5" xfId="0" applyNumberFormat="1" applyFont="1" applyBorder="1" applyAlignment="1">
      <alignment horizontal="right"/>
    </xf>
    <xf numFmtId="37" fontId="1" fillId="0" borderId="14" xfId="0" applyNumberFormat="1" applyFont="1" applyBorder="1"/>
    <xf numFmtId="37" fontId="1" fillId="2" borderId="14" xfId="0" applyNumberFormat="1" applyFont="1" applyFill="1" applyBorder="1"/>
    <xf numFmtId="37" fontId="15" fillId="6" borderId="8" xfId="0" applyNumberFormat="1" applyFont="1" applyFill="1" applyBorder="1" applyAlignment="1">
      <alignment horizontal="center"/>
    </xf>
    <xf numFmtId="37" fontId="1" fillId="0" borderId="5" xfId="0" applyNumberFormat="1" applyFont="1" applyBorder="1" applyAlignment="1">
      <alignment horizontal="right"/>
    </xf>
    <xf numFmtId="37" fontId="1" fillId="0" borderId="12" xfId="0" applyNumberFormat="1" applyFont="1" applyBorder="1" applyAlignment="1">
      <alignment horizontal="right"/>
    </xf>
    <xf numFmtId="37" fontId="1" fillId="13" borderId="0" xfId="0" applyNumberFormat="1" applyFont="1" applyFill="1" applyAlignment="1">
      <alignment horizontal="right"/>
    </xf>
    <xf numFmtId="0" fontId="11" fillId="0" borderId="5" xfId="0" applyFont="1" applyBorder="1"/>
    <xf numFmtId="3" fontId="1" fillId="20" borderId="0" xfId="0" applyNumberFormat="1" applyFont="1" applyFill="1"/>
    <xf numFmtId="0" fontId="2" fillId="20" borderId="0" xfId="0" applyFont="1" applyFill="1"/>
    <xf numFmtId="0" fontId="1" fillId="0" borderId="4" xfId="0" applyFont="1" applyBorder="1" applyAlignment="1">
      <alignment horizontal="center"/>
    </xf>
    <xf numFmtId="3" fontId="1" fillId="0" borderId="4" xfId="0" applyNumberFormat="1" applyFont="1" applyBorder="1" applyAlignment="1">
      <alignment horizontal="center"/>
    </xf>
    <xf numFmtId="3" fontId="1" fillId="2" borderId="5" xfId="0" applyNumberFormat="1" applyFont="1" applyFill="1" applyBorder="1" applyAlignment="1">
      <alignment horizontal="center"/>
    </xf>
    <xf numFmtId="3" fontId="1" fillId="0" borderId="6" xfId="0" applyNumberFormat="1" applyFont="1" applyBorder="1" applyAlignment="1">
      <alignment horizontal="center"/>
    </xf>
    <xf numFmtId="3" fontId="1" fillId="0" borderId="7" xfId="0" applyNumberFormat="1" applyFont="1" applyBorder="1" applyAlignment="1">
      <alignment horizontal="center"/>
    </xf>
    <xf numFmtId="3" fontId="1" fillId="2" borderId="8" xfId="0" applyNumberFormat="1" applyFont="1" applyFill="1" applyBorder="1" applyAlignment="1">
      <alignment horizontal="center"/>
    </xf>
    <xf numFmtId="0" fontId="1" fillId="20" borderId="0" xfId="0" applyFont="1" applyFill="1" applyAlignment="1">
      <alignment horizontal="center"/>
    </xf>
    <xf numFmtId="0" fontId="3" fillId="0" borderId="0" xfId="1"/>
    <xf numFmtId="0" fontId="11" fillId="0" borderId="1" xfId="0" applyFont="1" applyBorder="1"/>
    <xf numFmtId="0" fontId="11" fillId="0" borderId="2" xfId="0" applyFont="1" applyBorder="1"/>
    <xf numFmtId="0" fontId="11" fillId="0" borderId="3" xfId="0" applyFont="1" applyBorder="1"/>
    <xf numFmtId="0" fontId="11" fillId="0" borderId="6" xfId="0" applyFont="1" applyBorder="1"/>
    <xf numFmtId="0" fontId="11" fillId="0" borderId="7" xfId="0" applyFont="1" applyBorder="1"/>
    <xf numFmtId="0" fontId="11" fillId="0" borderId="8" xfId="0" applyFont="1" applyBorder="1"/>
    <xf numFmtId="0" fontId="11" fillId="0" borderId="9" xfId="0" applyFont="1" applyBorder="1"/>
    <xf numFmtId="0" fontId="11" fillId="0" borderId="10" xfId="0" applyFont="1" applyBorder="1"/>
    <xf numFmtId="0" fontId="11" fillId="0" borderId="11" xfId="0" applyFont="1" applyBorder="1"/>
    <xf numFmtId="0" fontId="34" fillId="8" borderId="4" xfId="0" applyFont="1" applyFill="1" applyBorder="1"/>
    <xf numFmtId="0" fontId="35" fillId="8" borderId="0" xfId="0" applyFont="1" applyFill="1"/>
    <xf numFmtId="0" fontId="35" fillId="8" borderId="5" xfId="0" applyFont="1" applyFill="1" applyBorder="1"/>
    <xf numFmtId="0" fontId="8" fillId="0" borderId="16" xfId="0" applyFont="1" applyBorder="1" applyAlignment="1">
      <alignment horizontal="center"/>
    </xf>
    <xf numFmtId="0" fontId="2" fillId="0" borderId="16" xfId="0" applyFont="1" applyBorder="1" applyAlignment="1">
      <alignment horizontal="center"/>
    </xf>
    <xf numFmtId="0" fontId="8" fillId="0" borderId="18" xfId="0" applyFont="1" applyBorder="1" applyAlignment="1">
      <alignment horizontal="center"/>
    </xf>
    <xf numFmtId="0" fontId="2" fillId="0" borderId="17" xfId="0" applyFont="1" applyBorder="1" applyAlignment="1">
      <alignment horizontal="center"/>
    </xf>
    <xf numFmtId="0" fontId="2" fillId="0" borderId="18" xfId="0" applyFont="1" applyBorder="1" applyAlignment="1">
      <alignment horizontal="center"/>
    </xf>
    <xf numFmtId="0" fontId="1" fillId="0" borderId="16" xfId="0" applyFont="1" applyBorder="1" applyAlignment="1">
      <alignment horizontal="center"/>
    </xf>
    <xf numFmtId="0" fontId="1" fillId="0" borderId="18" xfId="0" applyFont="1" applyBorder="1" applyAlignment="1">
      <alignment horizontal="center"/>
    </xf>
    <xf numFmtId="0" fontId="1" fillId="0" borderId="14" xfId="0" applyFont="1" applyBorder="1" applyAlignment="1">
      <alignment horizontal="center"/>
    </xf>
    <xf numFmtId="0" fontId="1" fillId="0" borderId="17" xfId="0" applyFont="1" applyBorder="1" applyAlignment="1">
      <alignment horizontal="center"/>
    </xf>
    <xf numFmtId="0" fontId="1" fillId="0" borderId="14" xfId="0" applyFont="1" applyBorder="1"/>
    <xf numFmtId="0" fontId="36" fillId="0" borderId="16" xfId="0" applyFont="1" applyBorder="1"/>
    <xf numFmtId="0" fontId="36" fillId="0" borderId="18" xfId="0" applyFont="1" applyBorder="1"/>
    <xf numFmtId="0" fontId="1" fillId="0" borderId="6" xfId="0" applyFont="1" applyBorder="1" applyAlignment="1">
      <alignment horizontal="right"/>
    </xf>
    <xf numFmtId="0" fontId="1" fillId="0" borderId="7" xfId="0" applyFont="1" applyBorder="1" applyAlignment="1">
      <alignment horizontal="right"/>
    </xf>
    <xf numFmtId="0" fontId="2" fillId="2" borderId="1" xfId="0" applyFont="1" applyFill="1" applyBorder="1"/>
    <xf numFmtId="0" fontId="2" fillId="2" borderId="2" xfId="0" applyFont="1" applyFill="1" applyBorder="1"/>
    <xf numFmtId="0" fontId="2" fillId="2" borderId="3" xfId="0" applyFont="1" applyFill="1" applyBorder="1"/>
    <xf numFmtId="0" fontId="2" fillId="7" borderId="4" xfId="0" applyFont="1" applyFill="1" applyBorder="1"/>
    <xf numFmtId="0" fontId="1" fillId="7" borderId="5" xfId="0" applyFont="1" applyFill="1" applyBorder="1"/>
    <xf numFmtId="0" fontId="7" fillId="0" borderId="6" xfId="0" applyFont="1" applyBorder="1"/>
    <xf numFmtId="0" fontId="7" fillId="0" borderId="7" xfId="0" applyFont="1" applyBorder="1"/>
    <xf numFmtId="0" fontId="7" fillId="0" borderId="8" xfId="0" applyFont="1" applyBorder="1"/>
    <xf numFmtId="0" fontId="2" fillId="7" borderId="1" xfId="0" applyFont="1" applyFill="1" applyBorder="1"/>
    <xf numFmtId="0" fontId="1" fillId="7" borderId="2" xfId="0" applyFont="1" applyFill="1" applyBorder="1"/>
    <xf numFmtId="0" fontId="1" fillId="7" borderId="3" xfId="0" applyFont="1" applyFill="1" applyBorder="1"/>
    <xf numFmtId="0" fontId="2" fillId="0" borderId="4" xfId="0" applyFont="1" applyBorder="1"/>
    <xf numFmtId="0" fontId="2" fillId="0" borderId="6" xfId="0" applyFont="1" applyBorder="1"/>
    <xf numFmtId="0" fontId="2" fillId="2" borderId="9" xfId="0" applyFont="1" applyFill="1" applyBorder="1"/>
    <xf numFmtId="0" fontId="1" fillId="2" borderId="10" xfId="0" applyFont="1" applyFill="1" applyBorder="1"/>
    <xf numFmtId="0" fontId="1" fillId="2" borderId="11" xfId="0" applyFont="1" applyFill="1" applyBorder="1"/>
    <xf numFmtId="0" fontId="2" fillId="13" borderId="9" xfId="0" applyFont="1" applyFill="1" applyBorder="1"/>
    <xf numFmtId="0" fontId="1" fillId="13" borderId="10" xfId="0" applyFont="1" applyFill="1" applyBorder="1"/>
    <xf numFmtId="0" fontId="1" fillId="13" borderId="11" xfId="0" applyFont="1" applyFill="1" applyBorder="1"/>
    <xf numFmtId="14" fontId="1" fillId="2" borderId="0" xfId="0" applyNumberFormat="1" applyFont="1" applyFill="1"/>
    <xf numFmtId="0" fontId="1" fillId="21" borderId="0" xfId="0" applyFont="1" applyFill="1" applyAlignment="1">
      <alignment horizontal="center" vertical="center" wrapText="1"/>
    </xf>
    <xf numFmtId="0" fontId="1" fillId="21" borderId="0" xfId="0" applyFont="1" applyFill="1" applyAlignment="1">
      <alignment vertical="center" wrapText="1"/>
    </xf>
    <xf numFmtId="0" fontId="1" fillId="0" borderId="13" xfId="0" applyFont="1" applyBorder="1" applyAlignment="1">
      <alignment horizontal="right"/>
    </xf>
    <xf numFmtId="0" fontId="1" fillId="12" borderId="0" xfId="0" applyFont="1" applyFill="1"/>
    <xf numFmtId="0" fontId="1" fillId="20" borderId="0" xfId="0" applyFont="1" applyFill="1"/>
    <xf numFmtId="0" fontId="1" fillId="12" borderId="12" xfId="0" applyFont="1" applyFill="1" applyBorder="1" applyAlignment="1">
      <alignment horizontal="center"/>
    </xf>
    <xf numFmtId="0" fontId="1" fillId="17" borderId="0" xfId="0" applyFont="1" applyFill="1" applyAlignment="1">
      <alignment horizontal="center"/>
    </xf>
    <xf numFmtId="0" fontId="2" fillId="0" borderId="0" xfId="0" applyFont="1" applyAlignment="1">
      <alignment horizontal="right"/>
    </xf>
    <xf numFmtId="0" fontId="2" fillId="2" borderId="0" xfId="0" applyFont="1" applyFill="1" applyAlignment="1">
      <alignment horizontal="center"/>
    </xf>
    <xf numFmtId="0" fontId="1" fillId="7" borderId="0" xfId="0" applyFont="1" applyFill="1" applyAlignment="1">
      <alignment horizontal="center"/>
    </xf>
    <xf numFmtId="0" fontId="1" fillId="2" borderId="0" xfId="0" applyFont="1" applyFill="1" applyAlignment="1">
      <alignment horizontal="center"/>
    </xf>
    <xf numFmtId="0" fontId="1" fillId="2" borderId="5" xfId="0" applyFont="1" applyFill="1" applyBorder="1" applyAlignment="1">
      <alignment horizontal="center"/>
    </xf>
    <xf numFmtId="3" fontId="1" fillId="0" borderId="0" xfId="0" applyNumberFormat="1" applyFont="1" applyAlignment="1">
      <alignment horizontal="center"/>
    </xf>
    <xf numFmtId="37" fontId="1" fillId="0" borderId="0" xfId="0" applyNumberFormat="1" applyFont="1" applyAlignment="1">
      <alignment horizontal="center"/>
    </xf>
    <xf numFmtId="0" fontId="7" fillId="0" borderId="9" xfId="0" applyFont="1" applyBorder="1" applyAlignment="1">
      <alignment horizontal="center"/>
    </xf>
    <xf numFmtId="0" fontId="7" fillId="0" borderId="10" xfId="0" applyFont="1" applyBorder="1" applyAlignment="1">
      <alignment horizontal="center"/>
    </xf>
    <xf numFmtId="0" fontId="7" fillId="0" borderId="11" xfId="0" applyFont="1" applyBorder="1" applyAlignment="1">
      <alignment horizontal="center"/>
    </xf>
    <xf numFmtId="0" fontId="1" fillId="0" borderId="0" xfId="0" applyFont="1" applyAlignment="1">
      <alignment horizontal="center"/>
    </xf>
    <xf numFmtId="0" fontId="1" fillId="8" borderId="0" xfId="0" applyFont="1" applyFill="1" applyAlignment="1">
      <alignment horizontal="center"/>
    </xf>
    <xf numFmtId="0" fontId="10" fillId="20" borderId="9" xfId="0" applyFont="1" applyFill="1" applyBorder="1" applyAlignment="1">
      <alignment horizontal="center"/>
    </xf>
    <xf numFmtId="0" fontId="10" fillId="20" borderId="11" xfId="0" applyFont="1" applyFill="1" applyBorder="1" applyAlignment="1">
      <alignment horizontal="center"/>
    </xf>
    <xf numFmtId="0" fontId="1" fillId="20" borderId="0" xfId="0" applyFont="1" applyFill="1" applyAlignment="1">
      <alignment horizontal="center"/>
    </xf>
    <xf numFmtId="0" fontId="1" fillId="0" borderId="1" xfId="0" applyFont="1" applyBorder="1" applyAlignment="1">
      <alignment horizontal="center"/>
    </xf>
    <xf numFmtId="0" fontId="1" fillId="0" borderId="2" xfId="0" applyFont="1" applyBorder="1" applyAlignment="1">
      <alignment horizontal="center"/>
    </xf>
    <xf numFmtId="0" fontId="1" fillId="0" borderId="3" xfId="0" applyFont="1" applyBorder="1" applyAlignment="1">
      <alignment horizontal="center"/>
    </xf>
    <xf numFmtId="0" fontId="15" fillId="6" borderId="4" xfId="0" applyFont="1" applyFill="1" applyBorder="1" applyAlignment="1">
      <alignment horizontal="center"/>
    </xf>
    <xf numFmtId="0" fontId="15" fillId="6" borderId="0" xfId="0" applyFont="1" applyFill="1" applyAlignment="1">
      <alignment horizontal="center"/>
    </xf>
    <xf numFmtId="0" fontId="15" fillId="6" borderId="5" xfId="0" applyFont="1" applyFill="1" applyBorder="1" applyAlignment="1">
      <alignment horizontal="center"/>
    </xf>
    <xf numFmtId="0" fontId="1" fillId="0" borderId="4" xfId="0" applyFont="1" applyBorder="1" applyAlignment="1">
      <alignment horizontal="center"/>
    </xf>
    <xf numFmtId="0" fontId="1" fillId="0" borderId="5" xfId="0" applyFont="1" applyBorder="1" applyAlignment="1">
      <alignment horizontal="center"/>
    </xf>
    <xf numFmtId="0" fontId="1" fillId="0" borderId="6" xfId="0" applyFont="1" applyBorder="1" applyAlignment="1">
      <alignment horizontal="center"/>
    </xf>
    <xf numFmtId="0" fontId="1" fillId="0" borderId="8" xfId="0" applyFont="1" applyBorder="1" applyAlignment="1">
      <alignment horizontal="center"/>
    </xf>
    <xf numFmtId="0" fontId="1" fillId="0" borderId="9" xfId="0" applyFont="1" applyBorder="1" applyAlignment="1">
      <alignment horizontal="center"/>
    </xf>
    <xf numFmtId="0" fontId="1" fillId="0" borderId="11" xfId="0" applyFont="1" applyBorder="1" applyAlignment="1">
      <alignment horizontal="center"/>
    </xf>
    <xf numFmtId="0" fontId="2" fillId="2" borderId="2" xfId="0" applyFont="1" applyFill="1" applyBorder="1" applyAlignment="1">
      <alignment horizontal="center"/>
    </xf>
    <xf numFmtId="0" fontId="2" fillId="13" borderId="9" xfId="0" applyFont="1" applyFill="1" applyBorder="1" applyAlignment="1">
      <alignment horizontal="center"/>
    </xf>
    <xf numFmtId="0" fontId="2" fillId="13" borderId="10" xfId="0" applyFont="1" applyFill="1" applyBorder="1" applyAlignment="1">
      <alignment horizontal="center"/>
    </xf>
    <xf numFmtId="0" fontId="2" fillId="13" borderId="11" xfId="0" applyFont="1" applyFill="1" applyBorder="1" applyAlignment="1">
      <alignment horizontal="center"/>
    </xf>
    <xf numFmtId="0" fontId="37" fillId="22" borderId="0" xfId="0" applyFont="1" applyFill="1" applyAlignment="1">
      <alignment horizontal="center"/>
    </xf>
    <xf numFmtId="0" fontId="2" fillId="12" borderId="0" xfId="0" applyFont="1" applyFill="1" applyAlignment="1">
      <alignment horizontal="center"/>
    </xf>
    <xf numFmtId="0" fontId="1" fillId="2" borderId="0" xfId="0" applyFont="1" applyFill="1" applyAlignment="1">
      <alignment horizontal="center" vertical="center"/>
    </xf>
    <xf numFmtId="0" fontId="1" fillId="21" borderId="0" xfId="0" applyFont="1" applyFill="1" applyAlignment="1">
      <alignment horizontal="center" vertical="top" wrapText="1"/>
    </xf>
    <xf numFmtId="0" fontId="1" fillId="5" borderId="0" xfId="0" applyFont="1" applyFill="1" applyAlignment="1">
      <alignment horizontal="center" vertical="center" wrapText="1"/>
    </xf>
    <xf numFmtId="0" fontId="38" fillId="0" borderId="0" xfId="0" applyFont="1"/>
  </cellXfs>
  <cellStyles count="2">
    <cellStyle name="Hyperlink" xfId="1" builtinId="8"/>
    <cellStyle name="Normal" xfId="0" builtinId="0"/>
  </cellStyles>
  <dxfs count="0"/>
  <tableStyles count="0" defaultTableStyle="TableStyleMedium2" defaultPivotStyle="PivotStyleLight16"/>
  <colors>
    <mruColors>
      <color rgb="FF8EFA00"/>
      <color rgb="FFFF8AD8"/>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theme" Target="theme/theme1.xml"/><Relationship Id="rId3" Type="http://schemas.openxmlformats.org/officeDocument/2006/relationships/worksheet" Target="worksheets/sheet3.xml"/><Relationship Id="rId21" Type="http://schemas.microsoft.com/office/2017/10/relationships/person" Target="persons/perso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12.xml.rels><?xml version="1.0" encoding="UTF-8" standalone="yes"?>
<Relationships xmlns="http://schemas.openxmlformats.org/package/2006/relationships"><Relationship Id="rId2" Type="http://schemas.openxmlformats.org/officeDocument/2006/relationships/image" Target="../media/image29.png"/><Relationship Id="rId1" Type="http://schemas.openxmlformats.org/officeDocument/2006/relationships/image" Target="../media/image28.png"/></Relationships>
</file>

<file path=xl/drawings/_rels/drawing13.xml.rels><?xml version="1.0" encoding="UTF-8" standalone="yes"?>
<Relationships xmlns="http://schemas.openxmlformats.org/package/2006/relationships"><Relationship Id="rId2" Type="http://schemas.openxmlformats.org/officeDocument/2006/relationships/image" Target="../media/image31.png"/><Relationship Id="rId1" Type="http://schemas.openxmlformats.org/officeDocument/2006/relationships/image" Target="../media/image30.png"/></Relationships>
</file>

<file path=xl/drawings/_rels/drawing2.xml.rels><?xml version="1.0" encoding="UTF-8" standalone="yes"?>
<Relationships xmlns="http://schemas.openxmlformats.org/package/2006/relationships"><Relationship Id="rId3" Type="http://schemas.openxmlformats.org/officeDocument/2006/relationships/image" Target="../media/image6.jpeg"/><Relationship Id="rId7" Type="http://schemas.openxmlformats.org/officeDocument/2006/relationships/image" Target="../media/image10.png"/><Relationship Id="rId2" Type="http://schemas.openxmlformats.org/officeDocument/2006/relationships/image" Target="../media/image5.png"/><Relationship Id="rId1" Type="http://schemas.openxmlformats.org/officeDocument/2006/relationships/image" Target="../media/image4.png"/><Relationship Id="rId6" Type="http://schemas.openxmlformats.org/officeDocument/2006/relationships/image" Target="../media/image9.jpeg"/><Relationship Id="rId5" Type="http://schemas.openxmlformats.org/officeDocument/2006/relationships/image" Target="../media/image8.jpeg"/><Relationship Id="rId4" Type="http://schemas.openxmlformats.org/officeDocument/2006/relationships/image" Target="../media/image7.jpeg"/></Relationships>
</file>

<file path=xl/drawings/_rels/drawing3.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12.png"/><Relationship Id="rId1" Type="http://schemas.openxmlformats.org/officeDocument/2006/relationships/image" Target="../media/image11.png"/><Relationship Id="rId4" Type="http://schemas.openxmlformats.org/officeDocument/2006/relationships/image" Target="../media/image14.png"/></Relationships>
</file>

<file path=xl/drawings/_rels/drawing4.xml.rels><?xml version="1.0" encoding="UTF-8" standalone="yes"?>
<Relationships xmlns="http://schemas.openxmlformats.org/package/2006/relationships"><Relationship Id="rId3" Type="http://schemas.openxmlformats.org/officeDocument/2006/relationships/image" Target="../media/image17.png"/><Relationship Id="rId2" Type="http://schemas.openxmlformats.org/officeDocument/2006/relationships/image" Target="../media/image16.png"/><Relationship Id="rId1" Type="http://schemas.openxmlformats.org/officeDocument/2006/relationships/image" Target="../media/image15.png"/></Relationships>
</file>

<file path=xl/drawings/_rels/drawing5.xml.rels><?xml version="1.0" encoding="UTF-8" standalone="yes"?>
<Relationships xmlns="http://schemas.openxmlformats.org/package/2006/relationships"><Relationship Id="rId3" Type="http://schemas.openxmlformats.org/officeDocument/2006/relationships/image" Target="../media/image20.jpeg"/><Relationship Id="rId2" Type="http://schemas.openxmlformats.org/officeDocument/2006/relationships/image" Target="../media/image19.jpeg"/><Relationship Id="rId1" Type="http://schemas.openxmlformats.org/officeDocument/2006/relationships/image" Target="../media/image18.jpeg"/></Relationships>
</file>

<file path=xl/drawings/_rels/drawing6.xml.rels><?xml version="1.0" encoding="UTF-8" standalone="yes"?>
<Relationships xmlns="http://schemas.openxmlformats.org/package/2006/relationships"><Relationship Id="rId1" Type="http://schemas.openxmlformats.org/officeDocument/2006/relationships/image" Target="../media/image21.png"/></Relationships>
</file>

<file path=xl/drawings/_rels/drawing7.xml.rels><?xml version="1.0" encoding="UTF-8" standalone="yes"?>
<Relationships xmlns="http://schemas.openxmlformats.org/package/2006/relationships"><Relationship Id="rId1" Type="http://schemas.openxmlformats.org/officeDocument/2006/relationships/image" Target="../media/image22.png"/></Relationships>
</file>

<file path=xl/drawings/_rels/drawing8.xml.rels><?xml version="1.0" encoding="UTF-8" standalone="yes"?>
<Relationships xmlns="http://schemas.openxmlformats.org/package/2006/relationships"><Relationship Id="rId1" Type="http://schemas.openxmlformats.org/officeDocument/2006/relationships/image" Target="../media/image23.png"/></Relationships>
</file>

<file path=xl/drawings/_rels/drawing9.xml.rels><?xml version="1.0" encoding="UTF-8" standalone="yes"?>
<Relationships xmlns="http://schemas.openxmlformats.org/package/2006/relationships"><Relationship Id="rId3" Type="http://schemas.openxmlformats.org/officeDocument/2006/relationships/image" Target="../media/image26.png"/><Relationship Id="rId2" Type="http://schemas.openxmlformats.org/officeDocument/2006/relationships/image" Target="../media/image25.png"/><Relationship Id="rId1" Type="http://schemas.openxmlformats.org/officeDocument/2006/relationships/image" Target="../media/image24.png"/><Relationship Id="rId4" Type="http://schemas.openxmlformats.org/officeDocument/2006/relationships/image" Target="../media/image27.png"/></Relationships>
</file>

<file path=xl/drawings/drawing1.xml><?xml version="1.0" encoding="utf-8"?>
<xdr:wsDr xmlns:xdr="http://schemas.openxmlformats.org/drawingml/2006/spreadsheetDrawing" xmlns:a="http://schemas.openxmlformats.org/drawingml/2006/main">
  <xdr:twoCellAnchor>
    <xdr:from>
      <xdr:col>0</xdr:col>
      <xdr:colOff>176204</xdr:colOff>
      <xdr:row>36</xdr:row>
      <xdr:rowOff>142958</xdr:rowOff>
    </xdr:from>
    <xdr:to>
      <xdr:col>7</xdr:col>
      <xdr:colOff>784607</xdr:colOff>
      <xdr:row>40</xdr:row>
      <xdr:rowOff>96414</xdr:rowOff>
    </xdr:to>
    <xdr:sp macro="" textlink="">
      <xdr:nvSpPr>
        <xdr:cNvPr id="2" name="TextBox 1">
          <a:extLst>
            <a:ext uri="{FF2B5EF4-FFF2-40B4-BE49-F238E27FC236}">
              <a16:creationId xmlns:a16="http://schemas.microsoft.com/office/drawing/2014/main" id="{54B1C122-B8DD-B0A4-E2D5-E1105D936C46}"/>
            </a:ext>
          </a:extLst>
        </xdr:cNvPr>
        <xdr:cNvSpPr txBox="1"/>
      </xdr:nvSpPr>
      <xdr:spPr>
        <a:xfrm>
          <a:off x="13502211126" y="7523586"/>
          <a:ext cx="6379921" cy="764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200" b="1">
              <a:latin typeface="David" panose="020E0502060401010101" pitchFamily="34" charset="-79"/>
              <a:cs typeface="David" panose="020E0502060401010101" pitchFamily="34" charset="-79"/>
            </a:rPr>
            <a:t>סעיף</a:t>
          </a:r>
          <a:r>
            <a:rPr lang="he-IL" sz="1200" b="1" baseline="0">
              <a:latin typeface="David" panose="020E0502060401010101" pitchFamily="34" charset="-79"/>
              <a:cs typeface="David" panose="020E0502060401010101" pitchFamily="34" charset="-79"/>
            </a:rPr>
            <a:t> 1</a:t>
          </a:r>
          <a:r>
            <a:rPr lang="he-IL" sz="1200" baseline="0">
              <a:latin typeface="David" panose="020E0502060401010101" pitchFamily="34" charset="-79"/>
              <a:cs typeface="David" panose="020E0502060401010101" pitchFamily="34" charset="-79"/>
            </a:rPr>
            <a:t>: </a:t>
          </a:r>
          <a:r>
            <a:rPr lang="he-IL" sz="1200">
              <a:latin typeface="David" panose="020E0502060401010101" pitchFamily="34" charset="-79"/>
              <a:cs typeface="David" panose="020E0502060401010101" pitchFamily="34" charset="-79"/>
            </a:rPr>
            <a:t>מטרת תקן זה היא לקבוע את הטיפול החשבונאי ברכוש קבוע, כך </a:t>
          </a:r>
          <a:r>
            <a:rPr lang="he-IL" sz="1200" b="1">
              <a:latin typeface="David" panose="020E0502060401010101" pitchFamily="34" charset="-79"/>
              <a:cs typeface="David" panose="020E0502060401010101" pitchFamily="34" charset="-79"/>
            </a:rPr>
            <a:t>שמשתמשים בדוחות הכספיים </a:t>
          </a:r>
          <a:r>
            <a:rPr lang="he-IL" sz="1200">
              <a:latin typeface="David" panose="020E0502060401010101" pitchFamily="34" charset="-79"/>
              <a:cs typeface="David" panose="020E0502060401010101" pitchFamily="34" charset="-79"/>
            </a:rPr>
            <a:t>יוכלו לקבל מידע לגבי השקעתה של הישות ברכוש קבוע ולגבי השינויים בהשקעה כזו. הסוגיות העיקריות בטיפול חשבונאי ברכוש קבוע הן </a:t>
          </a:r>
          <a:r>
            <a:rPr lang="he-IL" sz="1200" b="1">
              <a:latin typeface="David" panose="020E0502060401010101" pitchFamily="34" charset="-79"/>
              <a:cs typeface="David" panose="020E0502060401010101" pitchFamily="34" charset="-79"/>
            </a:rPr>
            <a:t>ההכרה בכסים</a:t>
          </a:r>
          <a:r>
            <a:rPr lang="he-IL" sz="1200">
              <a:latin typeface="David" panose="020E0502060401010101" pitchFamily="34" charset="-79"/>
              <a:cs typeface="David" panose="020E0502060401010101" pitchFamily="34" charset="-79"/>
            </a:rPr>
            <a:t>, </a:t>
          </a:r>
          <a:r>
            <a:rPr lang="he-IL" sz="1200" b="1">
              <a:latin typeface="David" panose="020E0502060401010101" pitchFamily="34" charset="-79"/>
              <a:cs typeface="David" panose="020E0502060401010101" pitchFamily="34" charset="-79"/>
            </a:rPr>
            <a:t>קביעת ערכם בספרים </a:t>
          </a:r>
          <a:r>
            <a:rPr lang="he-IL" sz="1200">
              <a:latin typeface="David" panose="020E0502060401010101" pitchFamily="34" charset="-79"/>
              <a:cs typeface="David" panose="020E0502060401010101" pitchFamily="34" charset="-79"/>
            </a:rPr>
            <a:t>והוצאות פחת והפסדים מירידת ערך , שיוכרו בהתייחס אליהם.</a:t>
          </a:r>
          <a:endParaRPr lang="en-US" sz="1200">
            <a:latin typeface="David" panose="020E0502060401010101" pitchFamily="34" charset="-79"/>
            <a:cs typeface="David" panose="020E0502060401010101" pitchFamily="34" charset="-79"/>
          </a:endParaRPr>
        </a:p>
      </xdr:txBody>
    </xdr:sp>
    <xdr:clientData/>
  </xdr:twoCellAnchor>
  <xdr:twoCellAnchor>
    <xdr:from>
      <xdr:col>0</xdr:col>
      <xdr:colOff>0</xdr:colOff>
      <xdr:row>56</xdr:row>
      <xdr:rowOff>204368</xdr:rowOff>
    </xdr:from>
    <xdr:to>
      <xdr:col>7</xdr:col>
      <xdr:colOff>608403</xdr:colOff>
      <xdr:row>59</xdr:row>
      <xdr:rowOff>91235</xdr:rowOff>
    </xdr:to>
    <xdr:sp macro="" textlink="">
      <xdr:nvSpPr>
        <xdr:cNvPr id="3" name="TextBox 2">
          <a:extLst>
            <a:ext uri="{FF2B5EF4-FFF2-40B4-BE49-F238E27FC236}">
              <a16:creationId xmlns:a16="http://schemas.microsoft.com/office/drawing/2014/main" id="{CCD0F9C4-FA37-BE45-BF19-AE6E1E20F97D}"/>
            </a:ext>
          </a:extLst>
        </xdr:cNvPr>
        <xdr:cNvSpPr txBox="1"/>
      </xdr:nvSpPr>
      <xdr:spPr>
        <a:xfrm>
          <a:off x="13506768551" y="11714655"/>
          <a:ext cx="6381794" cy="49997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200" b="1">
              <a:latin typeface="David" panose="020E0502060401010101" pitchFamily="34" charset="-79"/>
              <a:cs typeface="David" panose="020E0502060401010101" pitchFamily="34" charset="-79"/>
            </a:rPr>
            <a:t>סעיף</a:t>
          </a:r>
          <a:r>
            <a:rPr lang="he-IL" sz="1200" b="1" baseline="0">
              <a:latin typeface="David" panose="020E0502060401010101" pitchFamily="34" charset="-79"/>
              <a:cs typeface="David" panose="020E0502060401010101" pitchFamily="34" charset="-79"/>
            </a:rPr>
            <a:t> 2-5</a:t>
          </a:r>
          <a:r>
            <a:rPr lang="he-IL" sz="1200" baseline="0">
              <a:latin typeface="David" panose="020E0502060401010101" pitchFamily="34" charset="-79"/>
              <a:cs typeface="David" panose="020E0502060401010101" pitchFamily="34" charset="-79"/>
            </a:rPr>
            <a:t>: </a:t>
          </a:r>
          <a:r>
            <a:rPr lang="he-IL" sz="1200">
              <a:latin typeface="David" panose="020E0502060401010101" pitchFamily="34" charset="-79"/>
              <a:cs typeface="David" panose="020E0502060401010101" pitchFamily="34" charset="-79"/>
            </a:rPr>
            <a:t>דנים בכך שישנם נכסים</a:t>
          </a:r>
          <a:r>
            <a:rPr lang="he-IL" sz="1200" baseline="0">
              <a:latin typeface="David" panose="020E0502060401010101" pitchFamily="34" charset="-79"/>
              <a:cs typeface="David" panose="020E0502060401010101" pitchFamily="34" charset="-79"/>
            </a:rPr>
            <a:t> לזמן ארוך שאינם רכוש קבוע (למשל נכסים המיועדים למכירה בהגדרה, נכסים חקלאיים וביולוגיים, וכן נדל״ן להשקעה). </a:t>
          </a:r>
          <a:endParaRPr lang="en-US" sz="1200">
            <a:latin typeface="David" panose="020E0502060401010101" pitchFamily="34" charset="-79"/>
            <a:cs typeface="David" panose="020E0502060401010101" pitchFamily="34" charset="-79"/>
          </a:endParaRPr>
        </a:p>
      </xdr:txBody>
    </xdr:sp>
    <xdr:clientData/>
  </xdr:twoCellAnchor>
  <xdr:twoCellAnchor>
    <xdr:from>
      <xdr:col>0</xdr:col>
      <xdr:colOff>0</xdr:colOff>
      <xdr:row>89</xdr:row>
      <xdr:rowOff>204368</xdr:rowOff>
    </xdr:from>
    <xdr:to>
      <xdr:col>7</xdr:col>
      <xdr:colOff>879511</xdr:colOff>
      <xdr:row>92</xdr:row>
      <xdr:rowOff>91235</xdr:rowOff>
    </xdr:to>
    <xdr:sp macro="" textlink="">
      <xdr:nvSpPr>
        <xdr:cNvPr id="4" name="TextBox 3">
          <a:extLst>
            <a:ext uri="{FF2B5EF4-FFF2-40B4-BE49-F238E27FC236}">
              <a16:creationId xmlns:a16="http://schemas.microsoft.com/office/drawing/2014/main" id="{1ADE3AB6-C312-E048-BE18-3EA65F54B9F0}"/>
            </a:ext>
          </a:extLst>
        </xdr:cNvPr>
        <xdr:cNvSpPr txBox="1"/>
      </xdr:nvSpPr>
      <xdr:spPr>
        <a:xfrm>
          <a:off x="13506497443" y="18502586"/>
          <a:ext cx="6652902" cy="49997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200" b="1">
              <a:latin typeface="David" panose="020E0502060401010101" pitchFamily="34" charset="-79"/>
              <a:cs typeface="David" panose="020E0502060401010101" pitchFamily="34" charset="-79"/>
            </a:rPr>
            <a:t>סעיף</a:t>
          </a:r>
          <a:r>
            <a:rPr lang="he-IL" sz="1200" b="1" baseline="0">
              <a:latin typeface="David" panose="020E0502060401010101" pitchFamily="34" charset="-79"/>
              <a:cs typeface="David" panose="020E0502060401010101" pitchFamily="34" charset="-79"/>
            </a:rPr>
            <a:t> </a:t>
          </a:r>
          <a:r>
            <a:rPr lang="en-US" sz="1200" b="1" baseline="0">
              <a:latin typeface="David" panose="020E0502060401010101" pitchFamily="34" charset="-79"/>
              <a:cs typeface="David" panose="020E0502060401010101" pitchFamily="34" charset="-79"/>
            </a:rPr>
            <a:t>6</a:t>
          </a:r>
          <a:r>
            <a:rPr lang="he-IL" sz="1200" baseline="0">
              <a:latin typeface="David" panose="020E0502060401010101" pitchFamily="34" charset="-79"/>
              <a:cs typeface="David" panose="020E0502060401010101" pitchFamily="34" charset="-79"/>
            </a:rPr>
            <a:t>: מגדיר את ערך הספרים; ערך זה הוא הערך שבו מוכר הנכס בניכוי פחת נצבר (מכירים) והפסדים מירידת ערך שנצברו. </a:t>
          </a:r>
          <a:endParaRPr lang="en-US" sz="1200">
            <a:latin typeface="David" panose="020E0502060401010101" pitchFamily="34" charset="-79"/>
            <a:cs typeface="David" panose="020E0502060401010101" pitchFamily="34" charset="-79"/>
          </a:endParaRPr>
        </a:p>
      </xdr:txBody>
    </xdr:sp>
    <xdr:clientData/>
  </xdr:twoCellAnchor>
  <xdr:twoCellAnchor editAs="oneCell">
    <xdr:from>
      <xdr:col>6</xdr:col>
      <xdr:colOff>5577</xdr:colOff>
      <xdr:row>116</xdr:row>
      <xdr:rowOff>129427</xdr:rowOff>
    </xdr:from>
    <xdr:to>
      <xdr:col>6</xdr:col>
      <xdr:colOff>793224</xdr:colOff>
      <xdr:row>120</xdr:row>
      <xdr:rowOff>13348</xdr:rowOff>
    </xdr:to>
    <xdr:pic>
      <xdr:nvPicPr>
        <xdr:cNvPr id="5" name="Picture 4">
          <a:extLst>
            <a:ext uri="{FF2B5EF4-FFF2-40B4-BE49-F238E27FC236}">
              <a16:creationId xmlns:a16="http://schemas.microsoft.com/office/drawing/2014/main" id="{F2D5DC1D-4DDF-B550-68FA-23378B691565}"/>
            </a:ext>
          </a:extLst>
        </xdr:cNvPr>
        <xdr:cNvPicPr>
          <a:picLocks noChangeAspect="1"/>
        </xdr:cNvPicPr>
      </xdr:nvPicPr>
      <xdr:blipFill>
        <a:blip xmlns:r="http://schemas.openxmlformats.org/officeDocument/2006/relationships" r:embed="rId1"/>
        <a:stretch>
          <a:fillRect/>
        </a:stretch>
      </xdr:blipFill>
      <xdr:spPr>
        <a:xfrm>
          <a:off x="13512734801" y="23745765"/>
          <a:ext cx="787647" cy="692838"/>
        </a:xfrm>
        <a:prstGeom prst="rect">
          <a:avLst/>
        </a:prstGeom>
      </xdr:spPr>
    </xdr:pic>
    <xdr:clientData/>
  </xdr:twoCellAnchor>
  <xdr:twoCellAnchor>
    <xdr:from>
      <xdr:col>7</xdr:col>
      <xdr:colOff>64712</xdr:colOff>
      <xdr:row>113</xdr:row>
      <xdr:rowOff>117293</xdr:rowOff>
    </xdr:from>
    <xdr:to>
      <xdr:col>9</xdr:col>
      <xdr:colOff>525794</xdr:colOff>
      <xdr:row>120</xdr:row>
      <xdr:rowOff>194140</xdr:rowOff>
    </xdr:to>
    <xdr:sp macro="" textlink="">
      <xdr:nvSpPr>
        <xdr:cNvPr id="6" name="Rounded Rectangular Callout 5">
          <a:extLst>
            <a:ext uri="{FF2B5EF4-FFF2-40B4-BE49-F238E27FC236}">
              <a16:creationId xmlns:a16="http://schemas.microsoft.com/office/drawing/2014/main" id="{64C39412-046D-5BC3-E5D3-9E3D6E7F5CD2}"/>
            </a:ext>
          </a:extLst>
        </xdr:cNvPr>
        <xdr:cNvSpPr/>
      </xdr:nvSpPr>
      <xdr:spPr>
        <a:xfrm>
          <a:off x="13510413696" y="23114809"/>
          <a:ext cx="2224522" cy="1504586"/>
        </a:xfrm>
        <a:prstGeom prst="wedgeRoundRectCallout">
          <a:avLst>
            <a:gd name="adj1" fmla="val 62045"/>
            <a:gd name="adj2" fmla="val 28267"/>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כל מטרת</a:t>
          </a:r>
          <a:r>
            <a:rPr lang="he-IL" sz="1100" baseline="0"/>
            <a:t> השאלה היתה לנסות ולהדגים באופן בסיסי מאד את מושג ירידת הערך המצטברת; כשעוסקים ברכוש קבוע לעומק, אי אפשר לדבר רק על פחת נצבר. גם אירועים המובילים לירידה נוספת בערכו צריכים לקבל ביטוי</a:t>
          </a:r>
          <a:endParaRPr lang="en-US" sz="1100"/>
        </a:p>
      </xdr:txBody>
    </xdr:sp>
    <xdr:clientData/>
  </xdr:twoCellAnchor>
  <xdr:twoCellAnchor>
    <xdr:from>
      <xdr:col>0</xdr:col>
      <xdr:colOff>15916</xdr:colOff>
      <xdr:row>156</xdr:row>
      <xdr:rowOff>42745</xdr:rowOff>
    </xdr:from>
    <xdr:to>
      <xdr:col>7</xdr:col>
      <xdr:colOff>625371</xdr:colOff>
      <xdr:row>158</xdr:row>
      <xdr:rowOff>132862</xdr:rowOff>
    </xdr:to>
    <xdr:sp macro="" textlink="">
      <xdr:nvSpPr>
        <xdr:cNvPr id="7" name="TextBox 6">
          <a:extLst>
            <a:ext uri="{FF2B5EF4-FFF2-40B4-BE49-F238E27FC236}">
              <a16:creationId xmlns:a16="http://schemas.microsoft.com/office/drawing/2014/main" id="{0CCDD462-4B50-1D86-C9D4-F5AEED023433}"/>
            </a:ext>
          </a:extLst>
        </xdr:cNvPr>
        <xdr:cNvSpPr txBox="1"/>
      </xdr:nvSpPr>
      <xdr:spPr>
        <a:xfrm>
          <a:off x="13534380483" y="32067167"/>
          <a:ext cx="6458475" cy="49855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r>
            <a:rPr lang="he-IL" sz="1200" b="1">
              <a:latin typeface="David" panose="020E0502060401010101" pitchFamily="34" charset="-79"/>
              <a:cs typeface="David" panose="020E0502060401010101" pitchFamily="34" charset="-79"/>
            </a:rPr>
            <a:t>עדיין סעיף 6: </a:t>
          </a:r>
          <a:r>
            <a:rPr lang="he-IL" sz="1200">
              <a:latin typeface="David" panose="020E0502060401010101" pitchFamily="34" charset="-79"/>
              <a:cs typeface="David" panose="020E0502060401010101" pitchFamily="34" charset="-79"/>
            </a:rPr>
            <a:t>עלות היא סכום המזומנים או שווי המזומנים ששולם או השווי ההוגן של תמורה אחרת שניתנה על מנת לרכוש נכס בעת רכישתו או הקמתו </a:t>
          </a:r>
          <a:endParaRPr lang="en-US" sz="1200">
            <a:latin typeface="David" panose="020E0502060401010101" pitchFamily="34" charset="-79"/>
            <a:cs typeface="David" panose="020E0502060401010101" pitchFamily="34" charset="-79"/>
          </a:endParaRPr>
        </a:p>
      </xdr:txBody>
    </xdr:sp>
    <xdr:clientData/>
  </xdr:twoCellAnchor>
  <xdr:twoCellAnchor>
    <xdr:from>
      <xdr:col>4</xdr:col>
      <xdr:colOff>573186</xdr:colOff>
      <xdr:row>173</xdr:row>
      <xdr:rowOff>78673</xdr:rowOff>
    </xdr:from>
    <xdr:to>
      <xdr:col>4</xdr:col>
      <xdr:colOff>588172</xdr:colOff>
      <xdr:row>181</xdr:row>
      <xdr:rowOff>142360</xdr:rowOff>
    </xdr:to>
    <xdr:cxnSp macro="">
      <xdr:nvCxnSpPr>
        <xdr:cNvPr id="9" name="Straight Arrow Connector 8">
          <a:extLst>
            <a:ext uri="{FF2B5EF4-FFF2-40B4-BE49-F238E27FC236}">
              <a16:creationId xmlns:a16="http://schemas.microsoft.com/office/drawing/2014/main" id="{A0453AFD-58B5-87ED-0E23-CABC27A7A544}"/>
            </a:ext>
          </a:extLst>
        </xdr:cNvPr>
        <xdr:cNvCxnSpPr/>
      </xdr:nvCxnSpPr>
      <xdr:spPr>
        <a:xfrm>
          <a:off x="13499830265" y="35271534"/>
          <a:ext cx="14986" cy="1682094"/>
        </a:xfrm>
        <a:prstGeom prst="straightConnector1">
          <a:avLst/>
        </a:prstGeom>
        <a:ln>
          <a:headEnd type="triangle"/>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6</xdr:col>
      <xdr:colOff>251004</xdr:colOff>
      <xdr:row>170</xdr:row>
      <xdr:rowOff>176354</xdr:rowOff>
    </xdr:from>
    <xdr:to>
      <xdr:col>8</xdr:col>
      <xdr:colOff>89050</xdr:colOff>
      <xdr:row>176</xdr:row>
      <xdr:rowOff>136441</xdr:rowOff>
    </xdr:to>
    <xdr:pic>
      <xdr:nvPicPr>
        <xdr:cNvPr id="10" name="Picture 9">
          <a:extLst>
            <a:ext uri="{FF2B5EF4-FFF2-40B4-BE49-F238E27FC236}">
              <a16:creationId xmlns:a16="http://schemas.microsoft.com/office/drawing/2014/main" id="{097795F0-6120-0156-FCD1-F6575EF2CF73}"/>
            </a:ext>
          </a:extLst>
        </xdr:cNvPr>
        <xdr:cNvPicPr>
          <a:picLocks noChangeAspect="1"/>
        </xdr:cNvPicPr>
      </xdr:nvPicPr>
      <xdr:blipFill>
        <a:blip xmlns:r="http://schemas.openxmlformats.org/officeDocument/2006/relationships" r:embed="rId2"/>
        <a:stretch>
          <a:fillRect/>
        </a:stretch>
      </xdr:blipFill>
      <xdr:spPr>
        <a:xfrm>
          <a:off x="13496826584" y="34762313"/>
          <a:ext cx="1602560" cy="1173892"/>
        </a:xfrm>
        <a:prstGeom prst="rect">
          <a:avLst/>
        </a:prstGeom>
      </xdr:spPr>
    </xdr:pic>
    <xdr:clientData/>
  </xdr:twoCellAnchor>
  <xdr:twoCellAnchor>
    <xdr:from>
      <xdr:col>8</xdr:col>
      <xdr:colOff>217286</xdr:colOff>
      <xdr:row>170</xdr:row>
      <xdr:rowOff>3746</xdr:rowOff>
    </xdr:from>
    <xdr:to>
      <xdr:col>9</xdr:col>
      <xdr:colOff>775487</xdr:colOff>
      <xdr:row>173</xdr:row>
      <xdr:rowOff>112390</xdr:rowOff>
    </xdr:to>
    <xdr:sp macro="" textlink="">
      <xdr:nvSpPr>
        <xdr:cNvPr id="11" name="Rounded Rectangular Callout 10">
          <a:extLst>
            <a:ext uri="{FF2B5EF4-FFF2-40B4-BE49-F238E27FC236}">
              <a16:creationId xmlns:a16="http://schemas.microsoft.com/office/drawing/2014/main" id="{CB30751E-D6CD-7D56-104C-DB691F6D3175}"/>
            </a:ext>
          </a:extLst>
        </xdr:cNvPr>
        <xdr:cNvSpPr/>
      </xdr:nvSpPr>
      <xdr:spPr>
        <a:xfrm>
          <a:off x="13495315959" y="34589705"/>
          <a:ext cx="1382389" cy="715546"/>
        </a:xfrm>
        <a:prstGeom prst="wedgeRoundRectCallout">
          <a:avLst>
            <a:gd name="adj1" fmla="val 64804"/>
            <a:gd name="adj2" fmla="val 47317"/>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נשבע לך אני שווה 80,000</a:t>
          </a:r>
          <a:endParaRPr lang="en-US" sz="1100"/>
        </a:p>
      </xdr:txBody>
    </xdr:sp>
    <xdr:clientData/>
  </xdr:twoCellAnchor>
  <xdr:twoCellAnchor>
    <xdr:from>
      <xdr:col>0</xdr:col>
      <xdr:colOff>52449</xdr:colOff>
      <xdr:row>193</xdr:row>
      <xdr:rowOff>134867</xdr:rowOff>
    </xdr:from>
    <xdr:to>
      <xdr:col>8</xdr:col>
      <xdr:colOff>93658</xdr:colOff>
      <xdr:row>193</xdr:row>
      <xdr:rowOff>157345</xdr:rowOff>
    </xdr:to>
    <xdr:cxnSp macro="">
      <xdr:nvCxnSpPr>
        <xdr:cNvPr id="13" name="Straight Arrow Connector 12">
          <a:extLst>
            <a:ext uri="{FF2B5EF4-FFF2-40B4-BE49-F238E27FC236}">
              <a16:creationId xmlns:a16="http://schemas.microsoft.com/office/drawing/2014/main" id="{8E12FB27-D6DE-2FB9-06E4-F05BBFE178E2}"/>
            </a:ext>
          </a:extLst>
        </xdr:cNvPr>
        <xdr:cNvCxnSpPr/>
      </xdr:nvCxnSpPr>
      <xdr:spPr>
        <a:xfrm flipV="1">
          <a:off x="13496821976" y="39373746"/>
          <a:ext cx="6840767" cy="22478"/>
        </a:xfrm>
        <a:prstGeom prst="straightConnector1">
          <a:avLst/>
        </a:prstGeom>
        <a:ln>
          <a:headEnd type="triangle"/>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134865</xdr:colOff>
      <xdr:row>195</xdr:row>
      <xdr:rowOff>5618</xdr:rowOff>
    </xdr:from>
    <xdr:to>
      <xdr:col>7</xdr:col>
      <xdr:colOff>724911</xdr:colOff>
      <xdr:row>197</xdr:row>
      <xdr:rowOff>179822</xdr:rowOff>
    </xdr:to>
    <xdr:sp macro="" textlink="">
      <xdr:nvSpPr>
        <xdr:cNvPr id="15" name="Left Brace 14">
          <a:extLst>
            <a:ext uri="{FF2B5EF4-FFF2-40B4-BE49-F238E27FC236}">
              <a16:creationId xmlns:a16="http://schemas.microsoft.com/office/drawing/2014/main" id="{D2246B79-4281-49FE-6261-70FDE8CEBA80}"/>
            </a:ext>
          </a:extLst>
        </xdr:cNvPr>
        <xdr:cNvSpPr/>
      </xdr:nvSpPr>
      <xdr:spPr>
        <a:xfrm rot="16200000">
          <a:off x="13498417907" y="38362240"/>
          <a:ext cx="578806" cy="3152524"/>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0</xdr:col>
      <xdr:colOff>14983</xdr:colOff>
      <xdr:row>194</xdr:row>
      <xdr:rowOff>185441</xdr:rowOff>
    </xdr:from>
    <xdr:to>
      <xdr:col>2</xdr:col>
      <xdr:colOff>726785</xdr:colOff>
      <xdr:row>197</xdr:row>
      <xdr:rowOff>123628</xdr:rowOff>
    </xdr:to>
    <xdr:sp macro="" textlink="">
      <xdr:nvSpPr>
        <xdr:cNvPr id="17" name="Left Brace 16">
          <a:extLst>
            <a:ext uri="{FF2B5EF4-FFF2-40B4-BE49-F238E27FC236}">
              <a16:creationId xmlns:a16="http://schemas.microsoft.com/office/drawing/2014/main" id="{F9E789CF-219E-3941-4DC3-B4B89DD2134C}"/>
            </a:ext>
          </a:extLst>
        </xdr:cNvPr>
        <xdr:cNvSpPr/>
      </xdr:nvSpPr>
      <xdr:spPr>
        <a:xfrm rot="16200000">
          <a:off x="13502247574" y="38719076"/>
          <a:ext cx="545090" cy="2360180"/>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editAs="oneCell">
    <xdr:from>
      <xdr:col>2</xdr:col>
      <xdr:colOff>788722</xdr:colOff>
      <xdr:row>196</xdr:row>
      <xdr:rowOff>26223</xdr:rowOff>
    </xdr:from>
    <xdr:to>
      <xdr:col>4</xdr:col>
      <xdr:colOff>91672</xdr:colOff>
      <xdr:row>200</xdr:row>
      <xdr:rowOff>135353</xdr:rowOff>
    </xdr:to>
    <xdr:pic>
      <xdr:nvPicPr>
        <xdr:cNvPr id="18" name="Picture 17">
          <a:extLst>
            <a:ext uri="{FF2B5EF4-FFF2-40B4-BE49-F238E27FC236}">
              <a16:creationId xmlns:a16="http://schemas.microsoft.com/office/drawing/2014/main" id="{A23C59CD-0160-3ADE-1DF4-84AB61961427}"/>
            </a:ext>
          </a:extLst>
        </xdr:cNvPr>
        <xdr:cNvPicPr>
          <a:picLocks noChangeAspect="1"/>
        </xdr:cNvPicPr>
      </xdr:nvPicPr>
      <xdr:blipFill>
        <a:blip xmlns:r="http://schemas.openxmlformats.org/officeDocument/2006/relationships" r:embed="rId3"/>
        <a:stretch>
          <a:fillRect/>
        </a:stretch>
      </xdr:blipFill>
      <xdr:spPr>
        <a:xfrm>
          <a:off x="13500326765" y="39872005"/>
          <a:ext cx="951327" cy="918333"/>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xdr:from>
      <xdr:col>7</xdr:col>
      <xdr:colOff>606425</xdr:colOff>
      <xdr:row>126</xdr:row>
      <xdr:rowOff>34925</xdr:rowOff>
    </xdr:from>
    <xdr:to>
      <xdr:col>8</xdr:col>
      <xdr:colOff>76200</xdr:colOff>
      <xdr:row>127</xdr:row>
      <xdr:rowOff>22225</xdr:rowOff>
    </xdr:to>
    <xdr:cxnSp macro="">
      <xdr:nvCxnSpPr>
        <xdr:cNvPr id="5" name="Straight Arrow Connector 4">
          <a:extLst>
            <a:ext uri="{FF2B5EF4-FFF2-40B4-BE49-F238E27FC236}">
              <a16:creationId xmlns:a16="http://schemas.microsoft.com/office/drawing/2014/main" id="{35EB54D7-0988-BD4D-9CF2-45F2D4C8DBA6}"/>
            </a:ext>
          </a:extLst>
        </xdr:cNvPr>
        <xdr:cNvCxnSpPr/>
      </xdr:nvCxnSpPr>
      <xdr:spPr>
        <a:xfrm flipH="1">
          <a:off x="13518311800" y="25752425"/>
          <a:ext cx="295275" cy="1905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228600</xdr:colOff>
      <xdr:row>125</xdr:row>
      <xdr:rowOff>190500</xdr:rowOff>
    </xdr:from>
    <xdr:to>
      <xdr:col>7</xdr:col>
      <xdr:colOff>336550</xdr:colOff>
      <xdr:row>128</xdr:row>
      <xdr:rowOff>98425</xdr:rowOff>
    </xdr:to>
    <xdr:cxnSp macro="">
      <xdr:nvCxnSpPr>
        <xdr:cNvPr id="6" name="Straight Arrow Connector 5">
          <a:extLst>
            <a:ext uri="{FF2B5EF4-FFF2-40B4-BE49-F238E27FC236}">
              <a16:creationId xmlns:a16="http://schemas.microsoft.com/office/drawing/2014/main" id="{C738125B-21F8-114B-9B64-9BA6C7EA186D}"/>
            </a:ext>
          </a:extLst>
        </xdr:cNvPr>
        <xdr:cNvCxnSpPr/>
      </xdr:nvCxnSpPr>
      <xdr:spPr>
        <a:xfrm flipH="1">
          <a:off x="13518876950" y="25704800"/>
          <a:ext cx="107950" cy="5175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558800</xdr:colOff>
      <xdr:row>125</xdr:row>
      <xdr:rowOff>165100</xdr:rowOff>
    </xdr:from>
    <xdr:to>
      <xdr:col>7</xdr:col>
      <xdr:colOff>41275</xdr:colOff>
      <xdr:row>127</xdr:row>
      <xdr:rowOff>66675</xdr:rowOff>
    </xdr:to>
    <xdr:cxnSp macro="">
      <xdr:nvCxnSpPr>
        <xdr:cNvPr id="7" name="Straight Arrow Connector 6">
          <a:extLst>
            <a:ext uri="{FF2B5EF4-FFF2-40B4-BE49-F238E27FC236}">
              <a16:creationId xmlns:a16="http://schemas.microsoft.com/office/drawing/2014/main" id="{1F51EB6E-8663-DE4B-92B6-B3F15BBEBF20}"/>
            </a:ext>
          </a:extLst>
        </xdr:cNvPr>
        <xdr:cNvCxnSpPr/>
      </xdr:nvCxnSpPr>
      <xdr:spPr>
        <a:xfrm>
          <a:off x="13519172225" y="25679400"/>
          <a:ext cx="307975" cy="3079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422276</xdr:colOff>
      <xdr:row>142</xdr:row>
      <xdr:rowOff>177800</xdr:rowOff>
    </xdr:from>
    <xdr:to>
      <xdr:col>4</xdr:col>
      <xdr:colOff>381001</xdr:colOff>
      <xdr:row>143</xdr:row>
      <xdr:rowOff>158750</xdr:rowOff>
    </xdr:to>
    <xdr:sp macro="" textlink="">
      <xdr:nvSpPr>
        <xdr:cNvPr id="8" name="Left Brace 7">
          <a:extLst>
            <a:ext uri="{FF2B5EF4-FFF2-40B4-BE49-F238E27FC236}">
              <a16:creationId xmlns:a16="http://schemas.microsoft.com/office/drawing/2014/main" id="{1C48ED7D-8F8D-3847-A8C9-D7B215CA3555}"/>
            </a:ext>
          </a:extLst>
        </xdr:cNvPr>
        <xdr:cNvSpPr/>
      </xdr:nvSpPr>
      <xdr:spPr>
        <a:xfrm rot="16200000">
          <a:off x="13522040837" y="28427362"/>
          <a:ext cx="184150" cy="164782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190500</xdr:colOff>
      <xdr:row>144</xdr:row>
      <xdr:rowOff>174625</xdr:rowOff>
    </xdr:from>
    <xdr:to>
      <xdr:col>4</xdr:col>
      <xdr:colOff>196850</xdr:colOff>
      <xdr:row>146</xdr:row>
      <xdr:rowOff>57150</xdr:rowOff>
    </xdr:to>
    <xdr:cxnSp macro="">
      <xdr:nvCxnSpPr>
        <xdr:cNvPr id="9" name="Straight Arrow Connector 8">
          <a:extLst>
            <a:ext uri="{FF2B5EF4-FFF2-40B4-BE49-F238E27FC236}">
              <a16:creationId xmlns:a16="http://schemas.microsoft.com/office/drawing/2014/main" id="{1EECFC23-C46B-2545-84AA-15A2287C6DB0}"/>
            </a:ext>
          </a:extLst>
        </xdr:cNvPr>
        <xdr:cNvCxnSpPr/>
      </xdr:nvCxnSpPr>
      <xdr:spPr>
        <a:xfrm>
          <a:off x="13521493150" y="29562425"/>
          <a:ext cx="6350" cy="2889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742950</xdr:colOff>
      <xdr:row>200</xdr:row>
      <xdr:rowOff>98425</xdr:rowOff>
    </xdr:from>
    <xdr:to>
      <xdr:col>5</xdr:col>
      <xdr:colOff>780055</xdr:colOff>
      <xdr:row>207</xdr:row>
      <xdr:rowOff>114300</xdr:rowOff>
    </xdr:to>
    <xdr:sp macro="" textlink="">
      <xdr:nvSpPr>
        <xdr:cNvPr id="10" name="Freeform 9">
          <a:extLst>
            <a:ext uri="{FF2B5EF4-FFF2-40B4-BE49-F238E27FC236}">
              <a16:creationId xmlns:a16="http://schemas.microsoft.com/office/drawing/2014/main" id="{F2DCC6AD-A323-F447-ADFF-6C834564D5C6}"/>
            </a:ext>
          </a:extLst>
        </xdr:cNvPr>
        <xdr:cNvSpPr/>
      </xdr:nvSpPr>
      <xdr:spPr>
        <a:xfrm>
          <a:off x="13520084445" y="40890825"/>
          <a:ext cx="2551705" cy="1463675"/>
        </a:xfrm>
        <a:custGeom>
          <a:avLst/>
          <a:gdLst>
            <a:gd name="connsiteX0" fmla="*/ 2488205 w 2488205"/>
            <a:gd name="connsiteY0" fmla="*/ 0 h 1463675"/>
            <a:gd name="connsiteX1" fmla="*/ 65680 w 2488205"/>
            <a:gd name="connsiteY1" fmla="*/ 501650 h 1463675"/>
            <a:gd name="connsiteX2" fmla="*/ 926105 w 2488205"/>
            <a:gd name="connsiteY2" fmla="*/ 1463675 h 1463675"/>
          </a:gdLst>
          <a:ahLst/>
          <a:cxnLst>
            <a:cxn ang="0">
              <a:pos x="connsiteX0" y="connsiteY0"/>
            </a:cxn>
            <a:cxn ang="0">
              <a:pos x="connsiteX1" y="connsiteY1"/>
            </a:cxn>
            <a:cxn ang="0">
              <a:pos x="connsiteX2" y="connsiteY2"/>
            </a:cxn>
          </a:cxnLst>
          <a:rect l="l" t="t" r="r" b="b"/>
          <a:pathLst>
            <a:path w="2488205" h="1463675">
              <a:moveTo>
                <a:pt x="2488205" y="0"/>
              </a:moveTo>
              <a:cubicBezTo>
                <a:pt x="1407117" y="128852"/>
                <a:pt x="326030" y="257704"/>
                <a:pt x="65680" y="501650"/>
              </a:cubicBezTo>
              <a:cubicBezTo>
                <a:pt x="-194670" y="745596"/>
                <a:pt x="365717" y="1104635"/>
                <a:pt x="926105" y="1463675"/>
              </a:cubicBezTo>
            </a:path>
          </a:pathLst>
        </a:custGeom>
        <a:noFill/>
        <a:ln>
          <a:headEnd type="none" w="med" len="med"/>
          <a:tailEnd type="triangle" w="med" len="med"/>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346075</xdr:colOff>
      <xdr:row>211</xdr:row>
      <xdr:rowOff>177800</xdr:rowOff>
    </xdr:from>
    <xdr:to>
      <xdr:col>4</xdr:col>
      <xdr:colOff>438150</xdr:colOff>
      <xdr:row>213</xdr:row>
      <xdr:rowOff>6350</xdr:rowOff>
    </xdr:to>
    <xdr:sp macro="" textlink="">
      <xdr:nvSpPr>
        <xdr:cNvPr id="11" name="Left Brace 10">
          <a:extLst>
            <a:ext uri="{FF2B5EF4-FFF2-40B4-BE49-F238E27FC236}">
              <a16:creationId xmlns:a16="http://schemas.microsoft.com/office/drawing/2014/main" id="{87B0B8ED-A38B-0E41-B66C-A56D336474CE}"/>
            </a:ext>
          </a:extLst>
        </xdr:cNvPr>
        <xdr:cNvSpPr/>
      </xdr:nvSpPr>
      <xdr:spPr>
        <a:xfrm rot="16200000">
          <a:off x="13522024963" y="42457687"/>
          <a:ext cx="234950" cy="178117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454025</xdr:colOff>
      <xdr:row>214</xdr:row>
      <xdr:rowOff>6350</xdr:rowOff>
    </xdr:from>
    <xdr:to>
      <xdr:col>3</xdr:col>
      <xdr:colOff>454025</xdr:colOff>
      <xdr:row>215</xdr:row>
      <xdr:rowOff>6350</xdr:rowOff>
    </xdr:to>
    <xdr:cxnSp macro="">
      <xdr:nvCxnSpPr>
        <xdr:cNvPr id="12" name="Straight Arrow Connector 11">
          <a:extLst>
            <a:ext uri="{FF2B5EF4-FFF2-40B4-BE49-F238E27FC236}">
              <a16:creationId xmlns:a16="http://schemas.microsoft.com/office/drawing/2014/main" id="{08178413-3F6D-BD44-A257-1B759DE80B42}"/>
            </a:ext>
          </a:extLst>
        </xdr:cNvPr>
        <xdr:cNvCxnSpPr/>
      </xdr:nvCxnSpPr>
      <xdr:spPr>
        <a:xfrm>
          <a:off x="13522124975" y="43668950"/>
          <a:ext cx="0" cy="2032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615950</xdr:colOff>
      <xdr:row>270</xdr:row>
      <xdr:rowOff>206375</xdr:rowOff>
    </xdr:from>
    <xdr:to>
      <xdr:col>7</xdr:col>
      <xdr:colOff>107950</xdr:colOff>
      <xdr:row>272</xdr:row>
      <xdr:rowOff>9525</xdr:rowOff>
    </xdr:to>
    <xdr:cxnSp macro="">
      <xdr:nvCxnSpPr>
        <xdr:cNvPr id="13" name="Straight Arrow Connector 12">
          <a:extLst>
            <a:ext uri="{FF2B5EF4-FFF2-40B4-BE49-F238E27FC236}">
              <a16:creationId xmlns:a16="http://schemas.microsoft.com/office/drawing/2014/main" id="{F63ED9FF-50A2-D046-BACB-7FEC7810B6AC}"/>
            </a:ext>
          </a:extLst>
        </xdr:cNvPr>
        <xdr:cNvCxnSpPr/>
      </xdr:nvCxnSpPr>
      <xdr:spPr>
        <a:xfrm flipH="1">
          <a:off x="13519105550" y="55337075"/>
          <a:ext cx="317500" cy="2222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736600</xdr:colOff>
      <xdr:row>270</xdr:row>
      <xdr:rowOff>193675</xdr:rowOff>
    </xdr:from>
    <xdr:to>
      <xdr:col>6</xdr:col>
      <xdr:colOff>158750</xdr:colOff>
      <xdr:row>273</xdr:row>
      <xdr:rowOff>31750</xdr:rowOff>
    </xdr:to>
    <xdr:cxnSp macro="">
      <xdr:nvCxnSpPr>
        <xdr:cNvPr id="14" name="Straight Arrow Connector 13">
          <a:extLst>
            <a:ext uri="{FF2B5EF4-FFF2-40B4-BE49-F238E27FC236}">
              <a16:creationId xmlns:a16="http://schemas.microsoft.com/office/drawing/2014/main" id="{EF8F62CE-7D2F-2545-A388-2012550A9098}"/>
            </a:ext>
          </a:extLst>
        </xdr:cNvPr>
        <xdr:cNvCxnSpPr/>
      </xdr:nvCxnSpPr>
      <xdr:spPr>
        <a:xfrm flipH="1">
          <a:off x="13519880250" y="55324375"/>
          <a:ext cx="247650" cy="4603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615950</xdr:colOff>
      <xdr:row>291</xdr:row>
      <xdr:rowOff>174625</xdr:rowOff>
    </xdr:from>
    <xdr:to>
      <xdr:col>3</xdr:col>
      <xdr:colOff>723900</xdr:colOff>
      <xdr:row>294</xdr:row>
      <xdr:rowOff>57150</xdr:rowOff>
    </xdr:to>
    <xdr:sp macro="" textlink="">
      <xdr:nvSpPr>
        <xdr:cNvPr id="15" name="Left Brace 14">
          <a:extLst>
            <a:ext uri="{FF2B5EF4-FFF2-40B4-BE49-F238E27FC236}">
              <a16:creationId xmlns:a16="http://schemas.microsoft.com/office/drawing/2014/main" id="{BF72F1D8-56F8-874F-BB81-F6B3998496C4}"/>
            </a:ext>
          </a:extLst>
        </xdr:cNvPr>
        <xdr:cNvSpPr/>
      </xdr:nvSpPr>
      <xdr:spPr>
        <a:xfrm>
          <a:off x="13521855100" y="59661425"/>
          <a:ext cx="107950" cy="49212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796925</xdr:colOff>
      <xdr:row>292</xdr:row>
      <xdr:rowOff>88900</xdr:rowOff>
    </xdr:from>
    <xdr:to>
      <xdr:col>4</xdr:col>
      <xdr:colOff>774700</xdr:colOff>
      <xdr:row>293</xdr:row>
      <xdr:rowOff>120650</xdr:rowOff>
    </xdr:to>
    <xdr:sp macro="" textlink="">
      <xdr:nvSpPr>
        <xdr:cNvPr id="16" name="Rectangle 15">
          <a:extLst>
            <a:ext uri="{FF2B5EF4-FFF2-40B4-BE49-F238E27FC236}">
              <a16:creationId xmlns:a16="http://schemas.microsoft.com/office/drawing/2014/main" id="{C9B50B25-7981-1A40-94F8-2CC85B800BD7}"/>
            </a:ext>
          </a:extLst>
        </xdr:cNvPr>
        <xdr:cNvSpPr/>
      </xdr:nvSpPr>
      <xdr:spPr>
        <a:xfrm>
          <a:off x="13520915300" y="59778900"/>
          <a:ext cx="866775" cy="2349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43,188</a:t>
          </a:r>
          <a:endParaRPr lang="en-US" sz="1100"/>
        </a:p>
      </xdr:txBody>
    </xdr:sp>
    <xdr:clientData/>
  </xdr:twoCellAnchor>
  <xdr:twoCellAnchor>
    <xdr:from>
      <xdr:col>3</xdr:col>
      <xdr:colOff>361950</xdr:colOff>
      <xdr:row>302</xdr:row>
      <xdr:rowOff>161924</xdr:rowOff>
    </xdr:from>
    <xdr:to>
      <xdr:col>5</xdr:col>
      <xdr:colOff>415925</xdr:colOff>
      <xdr:row>303</xdr:row>
      <xdr:rowOff>152399</xdr:rowOff>
    </xdr:to>
    <xdr:sp macro="" textlink="">
      <xdr:nvSpPr>
        <xdr:cNvPr id="17" name="Left Brace 16">
          <a:extLst>
            <a:ext uri="{FF2B5EF4-FFF2-40B4-BE49-F238E27FC236}">
              <a16:creationId xmlns:a16="http://schemas.microsoft.com/office/drawing/2014/main" id="{44EBC5C9-B42E-154F-A969-828A1395ED02}"/>
            </a:ext>
          </a:extLst>
        </xdr:cNvPr>
        <xdr:cNvSpPr/>
      </xdr:nvSpPr>
      <xdr:spPr>
        <a:xfrm rot="16200000">
          <a:off x="13521235975" y="61096524"/>
          <a:ext cx="193675" cy="176847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727075</xdr:colOff>
      <xdr:row>306</xdr:row>
      <xdr:rowOff>12700</xdr:rowOff>
    </xdr:from>
    <xdr:to>
      <xdr:col>5</xdr:col>
      <xdr:colOff>66675</xdr:colOff>
      <xdr:row>306</xdr:row>
      <xdr:rowOff>107950</xdr:rowOff>
    </xdr:to>
    <xdr:cxnSp macro="">
      <xdr:nvCxnSpPr>
        <xdr:cNvPr id="18" name="Straight Arrow Connector 17">
          <a:extLst>
            <a:ext uri="{FF2B5EF4-FFF2-40B4-BE49-F238E27FC236}">
              <a16:creationId xmlns:a16="http://schemas.microsoft.com/office/drawing/2014/main" id="{7071F246-2793-C443-A151-072F67B24EDB}"/>
            </a:ext>
          </a:extLst>
        </xdr:cNvPr>
        <xdr:cNvCxnSpPr/>
      </xdr:nvCxnSpPr>
      <xdr:spPr>
        <a:xfrm>
          <a:off x="13520797825" y="62547500"/>
          <a:ext cx="1054100" cy="952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1.xml><?xml version="1.0" encoding="utf-8"?>
<xdr:wsDr xmlns:xdr="http://schemas.openxmlformats.org/drawingml/2006/spreadsheetDrawing" xmlns:a="http://schemas.openxmlformats.org/drawingml/2006/main">
  <xdr:twoCellAnchor>
    <xdr:from>
      <xdr:col>1</xdr:col>
      <xdr:colOff>335642</xdr:colOff>
      <xdr:row>11</xdr:row>
      <xdr:rowOff>72573</xdr:rowOff>
    </xdr:from>
    <xdr:to>
      <xdr:col>1</xdr:col>
      <xdr:colOff>444499</xdr:colOff>
      <xdr:row>12</xdr:row>
      <xdr:rowOff>145144</xdr:rowOff>
    </xdr:to>
    <xdr:sp macro="" textlink="">
      <xdr:nvSpPr>
        <xdr:cNvPr id="2" name="Down Arrow 1">
          <a:extLst>
            <a:ext uri="{FF2B5EF4-FFF2-40B4-BE49-F238E27FC236}">
              <a16:creationId xmlns:a16="http://schemas.microsoft.com/office/drawing/2014/main" id="{369D6513-F02B-864D-A063-92CCFE89719D}"/>
            </a:ext>
          </a:extLst>
        </xdr:cNvPr>
        <xdr:cNvSpPr/>
      </xdr:nvSpPr>
      <xdr:spPr>
        <a:xfrm>
          <a:off x="13523963301" y="2383973"/>
          <a:ext cx="108857" cy="275771"/>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340179</xdr:colOff>
      <xdr:row>15</xdr:row>
      <xdr:rowOff>63502</xdr:rowOff>
    </xdr:from>
    <xdr:to>
      <xdr:col>1</xdr:col>
      <xdr:colOff>449036</xdr:colOff>
      <xdr:row>16</xdr:row>
      <xdr:rowOff>136072</xdr:rowOff>
    </xdr:to>
    <xdr:sp macro="" textlink="">
      <xdr:nvSpPr>
        <xdr:cNvPr id="3" name="Down Arrow 2">
          <a:extLst>
            <a:ext uri="{FF2B5EF4-FFF2-40B4-BE49-F238E27FC236}">
              <a16:creationId xmlns:a16="http://schemas.microsoft.com/office/drawing/2014/main" id="{4B708678-F7E5-4345-BC82-7A989F9FF75E}"/>
            </a:ext>
          </a:extLst>
        </xdr:cNvPr>
        <xdr:cNvSpPr/>
      </xdr:nvSpPr>
      <xdr:spPr>
        <a:xfrm>
          <a:off x="13523958764" y="3213102"/>
          <a:ext cx="108857" cy="27577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344714</xdr:colOff>
      <xdr:row>19</xdr:row>
      <xdr:rowOff>54431</xdr:rowOff>
    </xdr:from>
    <xdr:to>
      <xdr:col>1</xdr:col>
      <xdr:colOff>453571</xdr:colOff>
      <xdr:row>20</xdr:row>
      <xdr:rowOff>127001</xdr:rowOff>
    </xdr:to>
    <xdr:sp macro="" textlink="">
      <xdr:nvSpPr>
        <xdr:cNvPr id="4" name="Down Arrow 3">
          <a:extLst>
            <a:ext uri="{FF2B5EF4-FFF2-40B4-BE49-F238E27FC236}">
              <a16:creationId xmlns:a16="http://schemas.microsoft.com/office/drawing/2014/main" id="{8D4AA2EF-D1C8-4B4A-86F4-35F8FA044EDE}"/>
            </a:ext>
          </a:extLst>
        </xdr:cNvPr>
        <xdr:cNvSpPr/>
      </xdr:nvSpPr>
      <xdr:spPr>
        <a:xfrm>
          <a:off x="13523954229" y="4042231"/>
          <a:ext cx="108857" cy="28847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340178</xdr:colOff>
      <xdr:row>11</xdr:row>
      <xdr:rowOff>40824</xdr:rowOff>
    </xdr:from>
    <xdr:to>
      <xdr:col>6</xdr:col>
      <xdr:colOff>449035</xdr:colOff>
      <xdr:row>12</xdr:row>
      <xdr:rowOff>113395</xdr:rowOff>
    </xdr:to>
    <xdr:sp macro="" textlink="">
      <xdr:nvSpPr>
        <xdr:cNvPr id="5" name="Down Arrow 4">
          <a:extLst>
            <a:ext uri="{FF2B5EF4-FFF2-40B4-BE49-F238E27FC236}">
              <a16:creationId xmlns:a16="http://schemas.microsoft.com/office/drawing/2014/main" id="{04165833-D5AE-9D45-AE0A-93D01323FF3D}"/>
            </a:ext>
          </a:extLst>
        </xdr:cNvPr>
        <xdr:cNvSpPr/>
      </xdr:nvSpPr>
      <xdr:spPr>
        <a:xfrm>
          <a:off x="13519755065" y="2352224"/>
          <a:ext cx="108857" cy="275771"/>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839107</xdr:colOff>
      <xdr:row>12</xdr:row>
      <xdr:rowOff>77107</xdr:rowOff>
    </xdr:from>
    <xdr:to>
      <xdr:col>2</xdr:col>
      <xdr:colOff>403678</xdr:colOff>
      <xdr:row>15</xdr:row>
      <xdr:rowOff>127000</xdr:rowOff>
    </xdr:to>
    <xdr:sp macro="" textlink="">
      <xdr:nvSpPr>
        <xdr:cNvPr id="6" name="Left Brace 5">
          <a:extLst>
            <a:ext uri="{FF2B5EF4-FFF2-40B4-BE49-F238E27FC236}">
              <a16:creationId xmlns:a16="http://schemas.microsoft.com/office/drawing/2014/main" id="{08ACDF2B-D7EA-E349-8F35-A7AF2636DFAA}"/>
            </a:ext>
          </a:extLst>
        </xdr:cNvPr>
        <xdr:cNvSpPr/>
      </xdr:nvSpPr>
      <xdr:spPr>
        <a:xfrm>
          <a:off x="13523140522" y="2591707"/>
          <a:ext cx="428171" cy="684893"/>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644069</xdr:colOff>
      <xdr:row>11</xdr:row>
      <xdr:rowOff>149678</xdr:rowOff>
    </xdr:from>
    <xdr:to>
      <xdr:col>4</xdr:col>
      <xdr:colOff>689427</xdr:colOff>
      <xdr:row>22</xdr:row>
      <xdr:rowOff>36286</xdr:rowOff>
    </xdr:to>
    <xdr:sp macro="" textlink="">
      <xdr:nvSpPr>
        <xdr:cNvPr id="7" name="Rounded Rectangular Callout 6">
          <a:extLst>
            <a:ext uri="{FF2B5EF4-FFF2-40B4-BE49-F238E27FC236}">
              <a16:creationId xmlns:a16="http://schemas.microsoft.com/office/drawing/2014/main" id="{B9DD4A2E-19E9-F946-9262-E6A9165634AB}"/>
            </a:ext>
          </a:extLst>
        </xdr:cNvPr>
        <xdr:cNvSpPr/>
      </xdr:nvSpPr>
      <xdr:spPr>
        <a:xfrm>
          <a:off x="13521165673" y="2461078"/>
          <a:ext cx="1734458" cy="2210708"/>
        </a:xfrm>
        <a:prstGeom prst="wedgeRoundRectCallout">
          <a:avLst>
            <a:gd name="adj1" fmla="val 62820"/>
            <a:gd name="adj2" fmla="val -28263"/>
            <a:gd name="adj3" fmla="val 16667"/>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latin typeface="David" panose="020E0502060401010101" pitchFamily="34" charset="-79"/>
              <a:cs typeface="David" panose="020E0502060401010101" pitchFamily="34" charset="-79"/>
            </a:rPr>
            <a:t>הגדרה: מידע שיש לו משמעות כספית </a:t>
          </a:r>
          <a:r>
            <a:rPr lang="he-IL" sz="1100" u="sng">
              <a:latin typeface="David" panose="020E0502060401010101" pitchFamily="34" charset="-79"/>
              <a:cs typeface="David" panose="020E0502060401010101" pitchFamily="34" charset="-79"/>
            </a:rPr>
            <a:t>שאיננו</a:t>
          </a:r>
          <a:r>
            <a:rPr lang="he-IL" sz="1100">
              <a:latin typeface="David" panose="020E0502060401010101" pitchFamily="34" charset="-79"/>
              <a:cs typeface="David" panose="020E0502060401010101" pitchFamily="34" charset="-79"/>
            </a:rPr>
            <a:t> מייצג תנאים או אירועים או נסיבות חדשות שנוצרו לאחר מועד הדיווח </a:t>
          </a:r>
        </a:p>
        <a:p>
          <a:pPr algn="r" rtl="1"/>
          <a:r>
            <a:rPr lang="he-IL" sz="1100" u="sng">
              <a:latin typeface="David" panose="020E0502060401010101" pitchFamily="34" charset="-79"/>
              <a:cs typeface="David" panose="020E0502060401010101" pitchFamily="34" charset="-79"/>
            </a:rPr>
            <a:t>אלא</a:t>
          </a:r>
          <a:r>
            <a:rPr lang="he-IL" sz="1100">
              <a:latin typeface="David" panose="020E0502060401010101" pitchFamily="34" charset="-79"/>
              <a:cs typeface="David" panose="020E0502060401010101" pitchFamily="34" charset="-79"/>
            </a:rPr>
            <a:t> </a:t>
          </a:r>
        </a:p>
        <a:p>
          <a:pPr algn="r" rtl="1"/>
          <a:r>
            <a:rPr lang="he-IL" sz="1100">
              <a:latin typeface="David" panose="020E0502060401010101" pitchFamily="34" charset="-79"/>
              <a:cs typeface="David" panose="020E0502060401010101" pitchFamily="34" charset="-79"/>
            </a:rPr>
            <a:t>מוסר מידע נוסף / הבהרה לגבי תנאים ואירועים שהתרחשו לפני מועד הדיווח</a:t>
          </a:r>
        </a:p>
        <a:p>
          <a:pPr algn="r" rtl="1"/>
          <a:r>
            <a:rPr lang="he-IL" sz="1100">
              <a:latin typeface="David" panose="020E0502060401010101" pitchFamily="34" charset="-79"/>
              <a:cs typeface="David" panose="020E0502060401010101" pitchFamily="34" charset="-79"/>
            </a:rPr>
            <a:t>+ טעות בתקופת הדיווח</a:t>
          </a:r>
        </a:p>
        <a:p>
          <a:pPr algn="r" rtl="1"/>
          <a:r>
            <a:rPr lang="he-IL" sz="1100">
              <a:latin typeface="David" panose="020E0502060401010101" pitchFamily="34" charset="-79"/>
              <a:cs typeface="David" panose="020E0502060401010101" pitchFamily="34" charset="-79"/>
            </a:rPr>
            <a:t>+ טעות לתקופות קודמות</a:t>
          </a:r>
        </a:p>
        <a:p>
          <a:pPr algn="r" rtl="1"/>
          <a:r>
            <a:rPr lang="he-IL" sz="1100">
              <a:latin typeface="David" panose="020E0502060401010101" pitchFamily="34" charset="-79"/>
              <a:cs typeface="David" panose="020E0502060401010101" pitchFamily="34" charset="-79"/>
            </a:rPr>
            <a:t>+ בעיית ״עסק חי״</a:t>
          </a:r>
          <a:endParaRPr lang="en-US" sz="1100">
            <a:latin typeface="David" panose="020E0502060401010101" pitchFamily="34" charset="-79"/>
            <a:cs typeface="David" panose="020E0502060401010101" pitchFamily="34" charset="-79"/>
          </a:endParaRPr>
        </a:p>
      </xdr:txBody>
    </xdr:sp>
    <xdr:clientData/>
  </xdr:twoCellAnchor>
  <xdr:twoCellAnchor>
    <xdr:from>
      <xdr:col>6</xdr:col>
      <xdr:colOff>789214</xdr:colOff>
      <xdr:row>12</xdr:row>
      <xdr:rowOff>149679</xdr:rowOff>
    </xdr:from>
    <xdr:to>
      <xdr:col>7</xdr:col>
      <xdr:colOff>81642</xdr:colOff>
      <xdr:row>17</xdr:row>
      <xdr:rowOff>77108</xdr:rowOff>
    </xdr:to>
    <xdr:sp macro="" textlink="">
      <xdr:nvSpPr>
        <xdr:cNvPr id="8" name="Left Brace 7">
          <a:extLst>
            <a:ext uri="{FF2B5EF4-FFF2-40B4-BE49-F238E27FC236}">
              <a16:creationId xmlns:a16="http://schemas.microsoft.com/office/drawing/2014/main" id="{3AD6E966-4613-D34F-A61F-1FD5B9766A7C}"/>
            </a:ext>
          </a:extLst>
        </xdr:cNvPr>
        <xdr:cNvSpPr/>
      </xdr:nvSpPr>
      <xdr:spPr>
        <a:xfrm>
          <a:off x="13519296958" y="2664279"/>
          <a:ext cx="117928" cy="981529"/>
        </a:xfrm>
        <a:prstGeom prst="leftBrace">
          <a:avLst>
            <a:gd name="adj1" fmla="val 8333"/>
            <a:gd name="adj2" fmla="val 14220"/>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7</xdr:col>
      <xdr:colOff>204105</xdr:colOff>
      <xdr:row>11</xdr:row>
      <xdr:rowOff>27213</xdr:rowOff>
    </xdr:from>
    <xdr:to>
      <xdr:col>8</xdr:col>
      <xdr:colOff>116335</xdr:colOff>
      <xdr:row>17</xdr:row>
      <xdr:rowOff>190500</xdr:rowOff>
    </xdr:to>
    <xdr:sp macro="" textlink="">
      <xdr:nvSpPr>
        <xdr:cNvPr id="9" name="Rounded Rectangular Callout 8">
          <a:extLst>
            <a:ext uri="{FF2B5EF4-FFF2-40B4-BE49-F238E27FC236}">
              <a16:creationId xmlns:a16="http://schemas.microsoft.com/office/drawing/2014/main" id="{F0918425-8F21-6048-B696-06DCC9C8CF3C}"/>
            </a:ext>
          </a:extLst>
        </xdr:cNvPr>
        <xdr:cNvSpPr/>
      </xdr:nvSpPr>
      <xdr:spPr>
        <a:xfrm>
          <a:off x="13518271665" y="2338613"/>
          <a:ext cx="902830" cy="1420587"/>
        </a:xfrm>
        <a:prstGeom prst="wedgeRoundRectCallout">
          <a:avLst>
            <a:gd name="adj1" fmla="val 62820"/>
            <a:gd name="adj2" fmla="val -19374"/>
            <a:gd name="adj3" fmla="val 16667"/>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000">
              <a:latin typeface="David" panose="020E0502060401010101" pitchFamily="34" charset="-79"/>
              <a:cs typeface="David" panose="020E0502060401010101" pitchFamily="34" charset="-79"/>
            </a:rPr>
            <a:t>מידע בעל משמעות כספית</a:t>
          </a:r>
          <a:r>
            <a:rPr lang="he-IL" sz="1000" baseline="0">
              <a:latin typeface="David" panose="020E0502060401010101" pitchFamily="34" charset="-79"/>
              <a:cs typeface="David" panose="020E0502060401010101" pitchFamily="34" charset="-79"/>
            </a:rPr>
            <a:t> שמתייחס לנסיבות שהתרחשו כולן (נולדו) לאחר מועד הדיווח</a:t>
          </a:r>
          <a:endParaRPr lang="en-US" sz="1000">
            <a:latin typeface="David" panose="020E0502060401010101" pitchFamily="34" charset="-79"/>
            <a:cs typeface="David" panose="020E0502060401010101" pitchFamily="34" charset="-79"/>
          </a:endParaRPr>
        </a:p>
      </xdr:txBody>
    </xdr:sp>
    <xdr:clientData/>
  </xdr:twoCellAnchor>
  <xdr:twoCellAnchor>
    <xdr:from>
      <xdr:col>6</xdr:col>
      <xdr:colOff>317498</xdr:colOff>
      <xdr:row>17</xdr:row>
      <xdr:rowOff>31752</xdr:rowOff>
    </xdr:from>
    <xdr:to>
      <xdr:col>6</xdr:col>
      <xdr:colOff>426354</xdr:colOff>
      <xdr:row>18</xdr:row>
      <xdr:rowOff>213179</xdr:rowOff>
    </xdr:to>
    <xdr:sp macro="" textlink="">
      <xdr:nvSpPr>
        <xdr:cNvPr id="10" name="Down Arrow 9">
          <a:extLst>
            <a:ext uri="{FF2B5EF4-FFF2-40B4-BE49-F238E27FC236}">
              <a16:creationId xmlns:a16="http://schemas.microsoft.com/office/drawing/2014/main" id="{7E4199E2-D4BD-F04B-B502-C2C6F4BC17D6}"/>
            </a:ext>
          </a:extLst>
        </xdr:cNvPr>
        <xdr:cNvSpPr/>
      </xdr:nvSpPr>
      <xdr:spPr>
        <a:xfrm>
          <a:off x="13519777746" y="3600452"/>
          <a:ext cx="108856" cy="38462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811891</xdr:colOff>
      <xdr:row>20</xdr:row>
      <xdr:rowOff>22681</xdr:rowOff>
    </xdr:from>
    <xdr:to>
      <xdr:col>6</xdr:col>
      <xdr:colOff>95247</xdr:colOff>
      <xdr:row>21</xdr:row>
      <xdr:rowOff>190501</xdr:rowOff>
    </xdr:to>
    <xdr:sp macro="" textlink="">
      <xdr:nvSpPr>
        <xdr:cNvPr id="11" name="Down Arrow 10">
          <a:extLst>
            <a:ext uri="{FF2B5EF4-FFF2-40B4-BE49-F238E27FC236}">
              <a16:creationId xmlns:a16="http://schemas.microsoft.com/office/drawing/2014/main" id="{18F6A18F-45FD-C944-AB32-E284E7C8F1DC}"/>
            </a:ext>
          </a:extLst>
        </xdr:cNvPr>
        <xdr:cNvSpPr/>
      </xdr:nvSpPr>
      <xdr:spPr>
        <a:xfrm rot="19975085">
          <a:off x="13520108853" y="4226381"/>
          <a:ext cx="108856" cy="38372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761998</xdr:colOff>
      <xdr:row>20</xdr:row>
      <xdr:rowOff>22681</xdr:rowOff>
    </xdr:from>
    <xdr:to>
      <xdr:col>7</xdr:col>
      <xdr:colOff>45354</xdr:colOff>
      <xdr:row>21</xdr:row>
      <xdr:rowOff>190501</xdr:rowOff>
    </xdr:to>
    <xdr:sp macro="" textlink="">
      <xdr:nvSpPr>
        <xdr:cNvPr id="12" name="Down Arrow 11">
          <a:extLst>
            <a:ext uri="{FF2B5EF4-FFF2-40B4-BE49-F238E27FC236}">
              <a16:creationId xmlns:a16="http://schemas.microsoft.com/office/drawing/2014/main" id="{46118441-CF03-F145-9B67-426CE0C0C363}"/>
            </a:ext>
          </a:extLst>
        </xdr:cNvPr>
        <xdr:cNvSpPr/>
      </xdr:nvSpPr>
      <xdr:spPr>
        <a:xfrm rot="2182146">
          <a:off x="13519333246" y="4226381"/>
          <a:ext cx="108856" cy="38372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725714</xdr:colOff>
      <xdr:row>108</xdr:row>
      <xdr:rowOff>53938</xdr:rowOff>
    </xdr:from>
    <xdr:to>
      <xdr:col>2</xdr:col>
      <xdr:colOff>215753</xdr:colOff>
      <xdr:row>110</xdr:row>
      <xdr:rowOff>132394</xdr:rowOff>
    </xdr:to>
    <xdr:sp macro="" textlink="">
      <xdr:nvSpPr>
        <xdr:cNvPr id="13" name="Down Arrow 12">
          <a:extLst>
            <a:ext uri="{FF2B5EF4-FFF2-40B4-BE49-F238E27FC236}">
              <a16:creationId xmlns:a16="http://schemas.microsoft.com/office/drawing/2014/main" id="{CCB4984D-C97F-D94B-BA65-41E7D449EA91}"/>
            </a:ext>
          </a:extLst>
        </xdr:cNvPr>
        <xdr:cNvSpPr/>
      </xdr:nvSpPr>
      <xdr:spPr>
        <a:xfrm>
          <a:off x="13523328447" y="22545638"/>
          <a:ext cx="353639" cy="484856"/>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392278</xdr:colOff>
      <xdr:row>108</xdr:row>
      <xdr:rowOff>58841</xdr:rowOff>
    </xdr:from>
    <xdr:to>
      <xdr:col>4</xdr:col>
      <xdr:colOff>745328</xdr:colOff>
      <xdr:row>110</xdr:row>
      <xdr:rowOff>137297</xdr:rowOff>
    </xdr:to>
    <xdr:sp macro="" textlink="">
      <xdr:nvSpPr>
        <xdr:cNvPr id="14" name="Down Arrow 13">
          <a:extLst>
            <a:ext uri="{FF2B5EF4-FFF2-40B4-BE49-F238E27FC236}">
              <a16:creationId xmlns:a16="http://schemas.microsoft.com/office/drawing/2014/main" id="{72661071-008A-AE48-9151-A3E29D499A46}"/>
            </a:ext>
          </a:extLst>
        </xdr:cNvPr>
        <xdr:cNvSpPr/>
      </xdr:nvSpPr>
      <xdr:spPr>
        <a:xfrm>
          <a:off x="13521109772" y="22550541"/>
          <a:ext cx="353050" cy="484856"/>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24517</xdr:colOff>
      <xdr:row>108</xdr:row>
      <xdr:rowOff>44130</xdr:rowOff>
    </xdr:from>
    <xdr:to>
      <xdr:col>7</xdr:col>
      <xdr:colOff>377567</xdr:colOff>
      <xdr:row>110</xdr:row>
      <xdr:rowOff>122586</xdr:rowOff>
    </xdr:to>
    <xdr:sp macro="" textlink="">
      <xdr:nvSpPr>
        <xdr:cNvPr id="15" name="Down Arrow 14">
          <a:extLst>
            <a:ext uri="{FF2B5EF4-FFF2-40B4-BE49-F238E27FC236}">
              <a16:creationId xmlns:a16="http://schemas.microsoft.com/office/drawing/2014/main" id="{D3C900B3-7667-E843-85F8-FEE56E807791}"/>
            </a:ext>
          </a:extLst>
        </xdr:cNvPr>
        <xdr:cNvSpPr/>
      </xdr:nvSpPr>
      <xdr:spPr>
        <a:xfrm>
          <a:off x="13519001033" y="22535830"/>
          <a:ext cx="353050" cy="484856"/>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671776</xdr:colOff>
      <xdr:row>112</xdr:row>
      <xdr:rowOff>19613</xdr:rowOff>
    </xdr:from>
    <xdr:to>
      <xdr:col>2</xdr:col>
      <xdr:colOff>161815</xdr:colOff>
      <xdr:row>114</xdr:row>
      <xdr:rowOff>98069</xdr:rowOff>
    </xdr:to>
    <xdr:sp macro="" textlink="">
      <xdr:nvSpPr>
        <xdr:cNvPr id="16" name="Down Arrow 15">
          <a:extLst>
            <a:ext uri="{FF2B5EF4-FFF2-40B4-BE49-F238E27FC236}">
              <a16:creationId xmlns:a16="http://schemas.microsoft.com/office/drawing/2014/main" id="{E1C11A50-7FAF-7445-910C-1A41AE4037B1}"/>
            </a:ext>
          </a:extLst>
        </xdr:cNvPr>
        <xdr:cNvSpPr/>
      </xdr:nvSpPr>
      <xdr:spPr>
        <a:xfrm>
          <a:off x="13523382385" y="23349513"/>
          <a:ext cx="353639" cy="484856"/>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603127</xdr:colOff>
      <xdr:row>112</xdr:row>
      <xdr:rowOff>63744</xdr:rowOff>
    </xdr:from>
    <xdr:to>
      <xdr:col>5</xdr:col>
      <xdr:colOff>132393</xdr:colOff>
      <xdr:row>114</xdr:row>
      <xdr:rowOff>142200</xdr:rowOff>
    </xdr:to>
    <xdr:sp macro="" textlink="">
      <xdr:nvSpPr>
        <xdr:cNvPr id="17" name="Down Arrow 16">
          <a:extLst>
            <a:ext uri="{FF2B5EF4-FFF2-40B4-BE49-F238E27FC236}">
              <a16:creationId xmlns:a16="http://schemas.microsoft.com/office/drawing/2014/main" id="{E7828D43-CFC2-674D-BA12-B6F1AFB01363}"/>
            </a:ext>
          </a:extLst>
        </xdr:cNvPr>
        <xdr:cNvSpPr/>
      </xdr:nvSpPr>
      <xdr:spPr>
        <a:xfrm>
          <a:off x="13520897207" y="23393644"/>
          <a:ext cx="354766" cy="484856"/>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245174</xdr:colOff>
      <xdr:row>112</xdr:row>
      <xdr:rowOff>68648</xdr:rowOff>
    </xdr:from>
    <xdr:to>
      <xdr:col>7</xdr:col>
      <xdr:colOff>598224</xdr:colOff>
      <xdr:row>114</xdr:row>
      <xdr:rowOff>147104</xdr:rowOff>
    </xdr:to>
    <xdr:sp macro="" textlink="">
      <xdr:nvSpPr>
        <xdr:cNvPr id="18" name="Down Arrow 17">
          <a:extLst>
            <a:ext uri="{FF2B5EF4-FFF2-40B4-BE49-F238E27FC236}">
              <a16:creationId xmlns:a16="http://schemas.microsoft.com/office/drawing/2014/main" id="{E7696E99-0D9F-1142-B4BE-56B7CEB35271}"/>
            </a:ext>
          </a:extLst>
        </xdr:cNvPr>
        <xdr:cNvSpPr/>
      </xdr:nvSpPr>
      <xdr:spPr>
        <a:xfrm>
          <a:off x="13518780376" y="23398548"/>
          <a:ext cx="353050" cy="484856"/>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274595</xdr:colOff>
      <xdr:row>128</xdr:row>
      <xdr:rowOff>215751</xdr:rowOff>
    </xdr:from>
    <xdr:to>
      <xdr:col>0</xdr:col>
      <xdr:colOff>441314</xdr:colOff>
      <xdr:row>131</xdr:row>
      <xdr:rowOff>24516</xdr:rowOff>
    </xdr:to>
    <xdr:sp macro="" textlink="">
      <xdr:nvSpPr>
        <xdr:cNvPr id="19" name="Down Arrow 18">
          <a:extLst>
            <a:ext uri="{FF2B5EF4-FFF2-40B4-BE49-F238E27FC236}">
              <a16:creationId xmlns:a16="http://schemas.microsoft.com/office/drawing/2014/main" id="{75A7A57F-8081-2248-A933-DCB47B7E284B}"/>
            </a:ext>
          </a:extLst>
        </xdr:cNvPr>
        <xdr:cNvSpPr/>
      </xdr:nvSpPr>
      <xdr:spPr>
        <a:xfrm>
          <a:off x="13524791986" y="26898451"/>
          <a:ext cx="166719" cy="44376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657066</xdr:colOff>
      <xdr:row>128</xdr:row>
      <xdr:rowOff>210847</xdr:rowOff>
    </xdr:from>
    <xdr:to>
      <xdr:col>4</xdr:col>
      <xdr:colOff>1</xdr:colOff>
      <xdr:row>131</xdr:row>
      <xdr:rowOff>19612</xdr:rowOff>
    </xdr:to>
    <xdr:sp macro="" textlink="">
      <xdr:nvSpPr>
        <xdr:cNvPr id="20" name="Down Arrow 19">
          <a:extLst>
            <a:ext uri="{FF2B5EF4-FFF2-40B4-BE49-F238E27FC236}">
              <a16:creationId xmlns:a16="http://schemas.microsoft.com/office/drawing/2014/main" id="{FD1A1C78-1690-1740-9AB3-E79FE958E213}"/>
            </a:ext>
          </a:extLst>
        </xdr:cNvPr>
        <xdr:cNvSpPr/>
      </xdr:nvSpPr>
      <xdr:spPr>
        <a:xfrm>
          <a:off x="13521855099" y="26893547"/>
          <a:ext cx="168435" cy="44376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367761</xdr:colOff>
      <xdr:row>138</xdr:row>
      <xdr:rowOff>9805</xdr:rowOff>
    </xdr:from>
    <xdr:to>
      <xdr:col>0</xdr:col>
      <xdr:colOff>534480</xdr:colOff>
      <xdr:row>140</xdr:row>
      <xdr:rowOff>49033</xdr:rowOff>
    </xdr:to>
    <xdr:sp macro="" textlink="">
      <xdr:nvSpPr>
        <xdr:cNvPr id="21" name="Down Arrow 20">
          <a:extLst>
            <a:ext uri="{FF2B5EF4-FFF2-40B4-BE49-F238E27FC236}">
              <a16:creationId xmlns:a16="http://schemas.microsoft.com/office/drawing/2014/main" id="{6B49AEE7-B7B7-BB41-B659-01930816D33C}"/>
            </a:ext>
          </a:extLst>
        </xdr:cNvPr>
        <xdr:cNvSpPr/>
      </xdr:nvSpPr>
      <xdr:spPr>
        <a:xfrm>
          <a:off x="13524698820" y="28775305"/>
          <a:ext cx="166719" cy="471028"/>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421699</xdr:colOff>
      <xdr:row>142</xdr:row>
      <xdr:rowOff>166716</xdr:rowOff>
    </xdr:from>
    <xdr:to>
      <xdr:col>0</xdr:col>
      <xdr:colOff>588418</xdr:colOff>
      <xdr:row>145</xdr:row>
      <xdr:rowOff>4901</xdr:rowOff>
    </xdr:to>
    <xdr:sp macro="" textlink="">
      <xdr:nvSpPr>
        <xdr:cNvPr id="22" name="Down Arrow 21">
          <a:extLst>
            <a:ext uri="{FF2B5EF4-FFF2-40B4-BE49-F238E27FC236}">
              <a16:creationId xmlns:a16="http://schemas.microsoft.com/office/drawing/2014/main" id="{B5DD3F1B-3E1E-A547-8CC2-0DC8024973D3}"/>
            </a:ext>
          </a:extLst>
        </xdr:cNvPr>
        <xdr:cNvSpPr/>
      </xdr:nvSpPr>
      <xdr:spPr>
        <a:xfrm>
          <a:off x="13524644882" y="29770416"/>
          <a:ext cx="166719" cy="47318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53938</xdr:colOff>
      <xdr:row>141</xdr:row>
      <xdr:rowOff>14707</xdr:rowOff>
    </xdr:from>
    <xdr:to>
      <xdr:col>2</xdr:col>
      <xdr:colOff>524672</xdr:colOff>
      <xdr:row>141</xdr:row>
      <xdr:rowOff>181426</xdr:rowOff>
    </xdr:to>
    <xdr:sp macro="" textlink="">
      <xdr:nvSpPr>
        <xdr:cNvPr id="23" name="Down Arrow 22">
          <a:extLst>
            <a:ext uri="{FF2B5EF4-FFF2-40B4-BE49-F238E27FC236}">
              <a16:creationId xmlns:a16="http://schemas.microsoft.com/office/drawing/2014/main" id="{37752C3C-4E19-0540-8CC4-BD522C8F1CCB}"/>
            </a:ext>
          </a:extLst>
        </xdr:cNvPr>
        <xdr:cNvSpPr/>
      </xdr:nvSpPr>
      <xdr:spPr>
        <a:xfrm rot="5400000">
          <a:off x="13523171535" y="29263200"/>
          <a:ext cx="166719" cy="470734"/>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81417</xdr:colOff>
      <xdr:row>134</xdr:row>
      <xdr:rowOff>19611</xdr:rowOff>
    </xdr:from>
    <xdr:to>
      <xdr:col>4</xdr:col>
      <xdr:colOff>279484</xdr:colOff>
      <xdr:row>138</xdr:row>
      <xdr:rowOff>171622</xdr:rowOff>
    </xdr:to>
    <xdr:sp macro="" textlink="">
      <xdr:nvSpPr>
        <xdr:cNvPr id="24" name="Down Arrow 23">
          <a:extLst>
            <a:ext uri="{FF2B5EF4-FFF2-40B4-BE49-F238E27FC236}">
              <a16:creationId xmlns:a16="http://schemas.microsoft.com/office/drawing/2014/main" id="{4D15920F-A497-0642-A630-21DF737A1019}"/>
            </a:ext>
          </a:extLst>
        </xdr:cNvPr>
        <xdr:cNvSpPr/>
      </xdr:nvSpPr>
      <xdr:spPr>
        <a:xfrm>
          <a:off x="13521575616" y="27959611"/>
          <a:ext cx="198067" cy="977511"/>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397181</xdr:colOff>
      <xdr:row>143</xdr:row>
      <xdr:rowOff>39224</xdr:rowOff>
    </xdr:from>
    <xdr:to>
      <xdr:col>3</xdr:col>
      <xdr:colOff>593322</xdr:colOff>
      <xdr:row>147</xdr:row>
      <xdr:rowOff>176525</xdr:rowOff>
    </xdr:to>
    <xdr:sp macro="" textlink="">
      <xdr:nvSpPr>
        <xdr:cNvPr id="25" name="Down Arrow 24">
          <a:extLst>
            <a:ext uri="{FF2B5EF4-FFF2-40B4-BE49-F238E27FC236}">
              <a16:creationId xmlns:a16="http://schemas.microsoft.com/office/drawing/2014/main" id="{15753473-193E-3042-922E-94EC76AF79C9}"/>
            </a:ext>
          </a:extLst>
        </xdr:cNvPr>
        <xdr:cNvSpPr/>
      </xdr:nvSpPr>
      <xdr:spPr>
        <a:xfrm rot="19998047">
          <a:off x="13522087278" y="29858824"/>
          <a:ext cx="196141" cy="975501"/>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544288</xdr:colOff>
      <xdr:row>146</xdr:row>
      <xdr:rowOff>39225</xdr:rowOff>
    </xdr:from>
    <xdr:to>
      <xdr:col>2</xdr:col>
      <xdr:colOff>152010</xdr:colOff>
      <xdr:row>147</xdr:row>
      <xdr:rowOff>4902</xdr:rowOff>
    </xdr:to>
    <xdr:sp macro="" textlink="">
      <xdr:nvSpPr>
        <xdr:cNvPr id="26" name="Down Arrow 25">
          <a:extLst>
            <a:ext uri="{FF2B5EF4-FFF2-40B4-BE49-F238E27FC236}">
              <a16:creationId xmlns:a16="http://schemas.microsoft.com/office/drawing/2014/main" id="{4CF33D98-B214-4E42-B2F5-6E015EBED061}"/>
            </a:ext>
          </a:extLst>
        </xdr:cNvPr>
        <xdr:cNvSpPr/>
      </xdr:nvSpPr>
      <xdr:spPr>
        <a:xfrm rot="2717233">
          <a:off x="13523543412" y="30342603"/>
          <a:ext cx="168877" cy="471322"/>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443316</xdr:colOff>
      <xdr:row>152</xdr:row>
      <xdr:rowOff>26206</xdr:rowOff>
    </xdr:from>
    <xdr:to>
      <xdr:col>0</xdr:col>
      <xdr:colOff>610035</xdr:colOff>
      <xdr:row>154</xdr:row>
      <xdr:rowOff>91369</xdr:rowOff>
    </xdr:to>
    <xdr:sp macro="" textlink="">
      <xdr:nvSpPr>
        <xdr:cNvPr id="27" name="Down Arrow 26">
          <a:extLst>
            <a:ext uri="{FF2B5EF4-FFF2-40B4-BE49-F238E27FC236}">
              <a16:creationId xmlns:a16="http://schemas.microsoft.com/office/drawing/2014/main" id="{1702B17D-8421-EF47-8BB3-49C361A37346}"/>
            </a:ext>
          </a:extLst>
        </xdr:cNvPr>
        <xdr:cNvSpPr/>
      </xdr:nvSpPr>
      <xdr:spPr>
        <a:xfrm>
          <a:off x="13524623265" y="31750806"/>
          <a:ext cx="166719" cy="471563"/>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302805</xdr:colOff>
      <xdr:row>152</xdr:row>
      <xdr:rowOff>20801</xdr:rowOff>
    </xdr:from>
    <xdr:to>
      <xdr:col>1</xdr:col>
      <xdr:colOff>469524</xdr:colOff>
      <xdr:row>154</xdr:row>
      <xdr:rowOff>85964</xdr:rowOff>
    </xdr:to>
    <xdr:sp macro="" textlink="">
      <xdr:nvSpPr>
        <xdr:cNvPr id="28" name="Down Arrow 27">
          <a:extLst>
            <a:ext uri="{FF2B5EF4-FFF2-40B4-BE49-F238E27FC236}">
              <a16:creationId xmlns:a16="http://schemas.microsoft.com/office/drawing/2014/main" id="{05ABFC6E-F449-EF4F-9452-37D107E73436}"/>
            </a:ext>
          </a:extLst>
        </xdr:cNvPr>
        <xdr:cNvSpPr/>
      </xdr:nvSpPr>
      <xdr:spPr>
        <a:xfrm>
          <a:off x="13523938276" y="31745401"/>
          <a:ext cx="166719" cy="471563"/>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346040</xdr:colOff>
      <xdr:row>152</xdr:row>
      <xdr:rowOff>37013</xdr:rowOff>
    </xdr:from>
    <xdr:to>
      <xdr:col>2</xdr:col>
      <xdr:colOff>512759</xdr:colOff>
      <xdr:row>154</xdr:row>
      <xdr:rowOff>102176</xdr:rowOff>
    </xdr:to>
    <xdr:sp macro="" textlink="">
      <xdr:nvSpPr>
        <xdr:cNvPr id="29" name="Down Arrow 28">
          <a:extLst>
            <a:ext uri="{FF2B5EF4-FFF2-40B4-BE49-F238E27FC236}">
              <a16:creationId xmlns:a16="http://schemas.microsoft.com/office/drawing/2014/main" id="{5E59649E-17C1-294A-A753-4A24B00BBE29}"/>
            </a:ext>
          </a:extLst>
        </xdr:cNvPr>
        <xdr:cNvSpPr/>
      </xdr:nvSpPr>
      <xdr:spPr>
        <a:xfrm>
          <a:off x="13523031441" y="31761613"/>
          <a:ext cx="166719" cy="471563"/>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270380</xdr:colOff>
      <xdr:row>152</xdr:row>
      <xdr:rowOff>37013</xdr:rowOff>
    </xdr:from>
    <xdr:to>
      <xdr:col>3</xdr:col>
      <xdr:colOff>437099</xdr:colOff>
      <xdr:row>154</xdr:row>
      <xdr:rowOff>102176</xdr:rowOff>
    </xdr:to>
    <xdr:sp macro="" textlink="">
      <xdr:nvSpPr>
        <xdr:cNvPr id="30" name="Down Arrow 29">
          <a:extLst>
            <a:ext uri="{FF2B5EF4-FFF2-40B4-BE49-F238E27FC236}">
              <a16:creationId xmlns:a16="http://schemas.microsoft.com/office/drawing/2014/main" id="{FBED7292-FCFB-354C-9151-2ED523447AEE}"/>
            </a:ext>
          </a:extLst>
        </xdr:cNvPr>
        <xdr:cNvSpPr/>
      </xdr:nvSpPr>
      <xdr:spPr>
        <a:xfrm>
          <a:off x="13522243501" y="31761613"/>
          <a:ext cx="166719" cy="471563"/>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286594</xdr:colOff>
      <xdr:row>152</xdr:row>
      <xdr:rowOff>31608</xdr:rowOff>
    </xdr:from>
    <xdr:to>
      <xdr:col>4</xdr:col>
      <xdr:colOff>453313</xdr:colOff>
      <xdr:row>154</xdr:row>
      <xdr:rowOff>96771</xdr:rowOff>
    </xdr:to>
    <xdr:sp macro="" textlink="">
      <xdr:nvSpPr>
        <xdr:cNvPr id="31" name="Down Arrow 30">
          <a:extLst>
            <a:ext uri="{FF2B5EF4-FFF2-40B4-BE49-F238E27FC236}">
              <a16:creationId xmlns:a16="http://schemas.microsoft.com/office/drawing/2014/main" id="{DA56081B-7920-0B44-A190-A4F206CD696A}"/>
            </a:ext>
          </a:extLst>
        </xdr:cNvPr>
        <xdr:cNvSpPr/>
      </xdr:nvSpPr>
      <xdr:spPr>
        <a:xfrm>
          <a:off x="13521401787" y="31756208"/>
          <a:ext cx="166719" cy="471563"/>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10805</xdr:colOff>
      <xdr:row>158</xdr:row>
      <xdr:rowOff>3578</xdr:rowOff>
    </xdr:from>
    <xdr:to>
      <xdr:col>4</xdr:col>
      <xdr:colOff>807934</xdr:colOff>
      <xdr:row>159</xdr:row>
      <xdr:rowOff>875</xdr:rowOff>
    </xdr:to>
    <xdr:sp macro="" textlink="">
      <xdr:nvSpPr>
        <xdr:cNvPr id="32" name="Left Brace 31">
          <a:extLst>
            <a:ext uri="{FF2B5EF4-FFF2-40B4-BE49-F238E27FC236}">
              <a16:creationId xmlns:a16="http://schemas.microsoft.com/office/drawing/2014/main" id="{910FFF59-ECB2-FF47-95B6-A5E7EC9B591E}"/>
            </a:ext>
          </a:extLst>
        </xdr:cNvPr>
        <xdr:cNvSpPr/>
      </xdr:nvSpPr>
      <xdr:spPr>
        <a:xfrm rot="16200000">
          <a:off x="13523034582" y="30998062"/>
          <a:ext cx="200497" cy="4175329"/>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340635</xdr:colOff>
      <xdr:row>164</xdr:row>
      <xdr:rowOff>37014</xdr:rowOff>
    </xdr:from>
    <xdr:to>
      <xdr:col>1</xdr:col>
      <xdr:colOff>507354</xdr:colOff>
      <xdr:row>166</xdr:row>
      <xdr:rowOff>102178</xdr:rowOff>
    </xdr:to>
    <xdr:sp macro="" textlink="">
      <xdr:nvSpPr>
        <xdr:cNvPr id="33" name="Down Arrow 32">
          <a:extLst>
            <a:ext uri="{FF2B5EF4-FFF2-40B4-BE49-F238E27FC236}">
              <a16:creationId xmlns:a16="http://schemas.microsoft.com/office/drawing/2014/main" id="{AD2AC05C-FA73-BB48-9E9C-2E4DC3A5B90A}"/>
            </a:ext>
          </a:extLst>
        </xdr:cNvPr>
        <xdr:cNvSpPr/>
      </xdr:nvSpPr>
      <xdr:spPr>
        <a:xfrm>
          <a:off x="13523900446" y="34263514"/>
          <a:ext cx="166719" cy="471564"/>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670294</xdr:colOff>
      <xdr:row>164</xdr:row>
      <xdr:rowOff>64035</xdr:rowOff>
    </xdr:from>
    <xdr:to>
      <xdr:col>4</xdr:col>
      <xdr:colOff>10162</xdr:colOff>
      <xdr:row>166</xdr:row>
      <xdr:rowOff>129199</xdr:rowOff>
    </xdr:to>
    <xdr:sp macro="" textlink="">
      <xdr:nvSpPr>
        <xdr:cNvPr id="34" name="Down Arrow 33">
          <a:extLst>
            <a:ext uri="{FF2B5EF4-FFF2-40B4-BE49-F238E27FC236}">
              <a16:creationId xmlns:a16="http://schemas.microsoft.com/office/drawing/2014/main" id="{303949DF-A717-0640-A0AE-B5FB07ECB086}"/>
            </a:ext>
          </a:extLst>
        </xdr:cNvPr>
        <xdr:cNvSpPr/>
      </xdr:nvSpPr>
      <xdr:spPr>
        <a:xfrm>
          <a:off x="13521844938" y="34290535"/>
          <a:ext cx="165368" cy="471564"/>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wsDr>
</file>

<file path=xl/drawings/drawing12.xml><?xml version="1.0" encoding="utf-8"?>
<xdr:wsDr xmlns:xdr="http://schemas.openxmlformats.org/drawingml/2006/spreadsheetDrawing" xmlns:a="http://schemas.openxmlformats.org/drawingml/2006/main">
  <xdr:twoCellAnchor editAs="oneCell">
    <xdr:from>
      <xdr:col>10</xdr:col>
      <xdr:colOff>355600</xdr:colOff>
      <xdr:row>0</xdr:row>
      <xdr:rowOff>63499</xdr:rowOff>
    </xdr:from>
    <xdr:to>
      <xdr:col>14</xdr:col>
      <xdr:colOff>38100</xdr:colOff>
      <xdr:row>13</xdr:row>
      <xdr:rowOff>41880</xdr:rowOff>
    </xdr:to>
    <xdr:pic>
      <xdr:nvPicPr>
        <xdr:cNvPr id="2" name="Picture 1">
          <a:extLst>
            <a:ext uri="{FF2B5EF4-FFF2-40B4-BE49-F238E27FC236}">
              <a16:creationId xmlns:a16="http://schemas.microsoft.com/office/drawing/2014/main" id="{412630E8-299B-6214-8994-1FF818FF5FE0}"/>
            </a:ext>
          </a:extLst>
        </xdr:cNvPr>
        <xdr:cNvPicPr>
          <a:picLocks noChangeAspect="1"/>
        </xdr:cNvPicPr>
      </xdr:nvPicPr>
      <xdr:blipFill>
        <a:blip xmlns:r="http://schemas.openxmlformats.org/officeDocument/2006/relationships" r:embed="rId1"/>
        <a:stretch>
          <a:fillRect/>
        </a:stretch>
      </xdr:blipFill>
      <xdr:spPr>
        <a:xfrm>
          <a:off x="13513396900" y="63499"/>
          <a:ext cx="2984500" cy="2619981"/>
        </a:xfrm>
        <a:prstGeom prst="rect">
          <a:avLst/>
        </a:prstGeom>
      </xdr:spPr>
    </xdr:pic>
    <xdr:clientData/>
  </xdr:twoCellAnchor>
  <xdr:twoCellAnchor>
    <xdr:from>
      <xdr:col>12</xdr:col>
      <xdr:colOff>165100</xdr:colOff>
      <xdr:row>5</xdr:row>
      <xdr:rowOff>127000</xdr:rowOff>
    </xdr:from>
    <xdr:to>
      <xdr:col>12</xdr:col>
      <xdr:colOff>635000</xdr:colOff>
      <xdr:row>7</xdr:row>
      <xdr:rowOff>63500</xdr:rowOff>
    </xdr:to>
    <xdr:sp macro="" textlink="">
      <xdr:nvSpPr>
        <xdr:cNvPr id="3" name="Rounded Rectangle 2">
          <a:extLst>
            <a:ext uri="{FF2B5EF4-FFF2-40B4-BE49-F238E27FC236}">
              <a16:creationId xmlns:a16="http://schemas.microsoft.com/office/drawing/2014/main" id="{6B72FDCC-33F3-CDA5-F72B-A6062169C4FD}"/>
            </a:ext>
          </a:extLst>
        </xdr:cNvPr>
        <xdr:cNvSpPr/>
      </xdr:nvSpPr>
      <xdr:spPr>
        <a:xfrm>
          <a:off x="13514451000" y="1143000"/>
          <a:ext cx="469900" cy="342900"/>
        </a:xfrm>
        <a:prstGeom prst="roundRect">
          <a:avLst/>
        </a:prstGeom>
        <a:noFill/>
        <a:ln w="5715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11</xdr:col>
      <xdr:colOff>393700</xdr:colOff>
      <xdr:row>5</xdr:row>
      <xdr:rowOff>127000</xdr:rowOff>
    </xdr:from>
    <xdr:to>
      <xdr:col>12</xdr:col>
      <xdr:colOff>38100</xdr:colOff>
      <xdr:row>7</xdr:row>
      <xdr:rowOff>76200</xdr:rowOff>
    </xdr:to>
    <xdr:sp macro="" textlink="">
      <xdr:nvSpPr>
        <xdr:cNvPr id="4" name="Rounded Rectangle 3">
          <a:extLst>
            <a:ext uri="{FF2B5EF4-FFF2-40B4-BE49-F238E27FC236}">
              <a16:creationId xmlns:a16="http://schemas.microsoft.com/office/drawing/2014/main" id="{55A3EB9E-0DDA-07ED-EC48-BCAD862D4117}"/>
            </a:ext>
          </a:extLst>
        </xdr:cNvPr>
        <xdr:cNvSpPr/>
      </xdr:nvSpPr>
      <xdr:spPr>
        <a:xfrm>
          <a:off x="13515047900" y="1143000"/>
          <a:ext cx="469900" cy="355600"/>
        </a:xfrm>
        <a:prstGeom prst="roundRect">
          <a:avLst/>
        </a:prstGeom>
        <a:noFill/>
        <a:ln w="5715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12</xdr:col>
      <xdr:colOff>25400</xdr:colOff>
      <xdr:row>6</xdr:row>
      <xdr:rowOff>63500</xdr:rowOff>
    </xdr:from>
    <xdr:to>
      <xdr:col>12</xdr:col>
      <xdr:colOff>203200</xdr:colOff>
      <xdr:row>6</xdr:row>
      <xdr:rowOff>152400</xdr:rowOff>
    </xdr:to>
    <xdr:sp macro="" textlink="">
      <xdr:nvSpPr>
        <xdr:cNvPr id="5" name="Rectangle 4">
          <a:extLst>
            <a:ext uri="{FF2B5EF4-FFF2-40B4-BE49-F238E27FC236}">
              <a16:creationId xmlns:a16="http://schemas.microsoft.com/office/drawing/2014/main" id="{636601F7-678D-DDA4-97D6-1CF4B8574C83}"/>
            </a:ext>
          </a:extLst>
        </xdr:cNvPr>
        <xdr:cNvSpPr/>
      </xdr:nvSpPr>
      <xdr:spPr>
        <a:xfrm>
          <a:off x="13514882800" y="1282700"/>
          <a:ext cx="177800" cy="8890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11</xdr:col>
      <xdr:colOff>215900</xdr:colOff>
      <xdr:row>5</xdr:row>
      <xdr:rowOff>114300</xdr:rowOff>
    </xdr:from>
    <xdr:to>
      <xdr:col>11</xdr:col>
      <xdr:colOff>393700</xdr:colOff>
      <xdr:row>6</xdr:row>
      <xdr:rowOff>101600</xdr:rowOff>
    </xdr:to>
    <xdr:cxnSp macro="">
      <xdr:nvCxnSpPr>
        <xdr:cNvPr id="7" name="Straight Connector 6">
          <a:extLst>
            <a:ext uri="{FF2B5EF4-FFF2-40B4-BE49-F238E27FC236}">
              <a16:creationId xmlns:a16="http://schemas.microsoft.com/office/drawing/2014/main" id="{72491641-0E9E-5593-E63E-C2C88C82819C}"/>
            </a:ext>
          </a:extLst>
        </xdr:cNvPr>
        <xdr:cNvCxnSpPr>
          <a:stCxn id="4" idx="3"/>
        </xdr:cNvCxnSpPr>
      </xdr:nvCxnSpPr>
      <xdr:spPr>
        <a:xfrm flipV="1">
          <a:off x="13515517800" y="1130300"/>
          <a:ext cx="177800" cy="190500"/>
        </a:xfrm>
        <a:prstGeom prst="line">
          <a:avLst/>
        </a:prstGeom>
      </xdr:spPr>
      <xdr:style>
        <a:lnRef idx="3">
          <a:schemeClr val="accent4"/>
        </a:lnRef>
        <a:fillRef idx="0">
          <a:schemeClr val="accent4"/>
        </a:fillRef>
        <a:effectRef idx="2">
          <a:schemeClr val="accent4"/>
        </a:effectRef>
        <a:fontRef idx="minor">
          <a:schemeClr val="tx1"/>
        </a:fontRef>
      </xdr:style>
    </xdr:cxnSp>
    <xdr:clientData/>
  </xdr:twoCellAnchor>
  <xdr:twoCellAnchor>
    <xdr:from>
      <xdr:col>12</xdr:col>
      <xdr:colOff>635000</xdr:colOff>
      <xdr:row>5</xdr:row>
      <xdr:rowOff>152400</xdr:rowOff>
    </xdr:from>
    <xdr:to>
      <xdr:col>12</xdr:col>
      <xdr:colOff>812800</xdr:colOff>
      <xdr:row>6</xdr:row>
      <xdr:rowOff>95250</xdr:rowOff>
    </xdr:to>
    <xdr:cxnSp macro="">
      <xdr:nvCxnSpPr>
        <xdr:cNvPr id="8" name="Straight Connector 7">
          <a:extLst>
            <a:ext uri="{FF2B5EF4-FFF2-40B4-BE49-F238E27FC236}">
              <a16:creationId xmlns:a16="http://schemas.microsoft.com/office/drawing/2014/main" id="{149A88C7-CDA8-6AC7-79B2-981629BB8CE6}"/>
            </a:ext>
          </a:extLst>
        </xdr:cNvPr>
        <xdr:cNvCxnSpPr>
          <a:stCxn id="3" idx="1"/>
        </xdr:cNvCxnSpPr>
      </xdr:nvCxnSpPr>
      <xdr:spPr>
        <a:xfrm flipH="1" flipV="1">
          <a:off x="13514273200" y="1168400"/>
          <a:ext cx="177800" cy="146050"/>
        </a:xfrm>
        <a:prstGeom prst="line">
          <a:avLst/>
        </a:prstGeom>
      </xdr:spPr>
      <xdr:style>
        <a:lnRef idx="3">
          <a:schemeClr val="accent4"/>
        </a:lnRef>
        <a:fillRef idx="0">
          <a:schemeClr val="accent4"/>
        </a:fillRef>
        <a:effectRef idx="2">
          <a:schemeClr val="accent4"/>
        </a:effectRef>
        <a:fontRef idx="minor">
          <a:schemeClr val="tx1"/>
        </a:fontRef>
      </xdr:style>
    </xdr:cxnSp>
    <xdr:clientData/>
  </xdr:twoCellAnchor>
  <xdr:twoCellAnchor editAs="oneCell">
    <xdr:from>
      <xdr:col>10</xdr:col>
      <xdr:colOff>0</xdr:colOff>
      <xdr:row>61</xdr:row>
      <xdr:rowOff>0</xdr:rowOff>
    </xdr:from>
    <xdr:to>
      <xdr:col>10</xdr:col>
      <xdr:colOff>342900</xdr:colOff>
      <xdr:row>66</xdr:row>
      <xdr:rowOff>121770</xdr:rowOff>
    </xdr:to>
    <xdr:pic>
      <xdr:nvPicPr>
        <xdr:cNvPr id="11" name="Picture 10">
          <a:extLst>
            <a:ext uri="{FF2B5EF4-FFF2-40B4-BE49-F238E27FC236}">
              <a16:creationId xmlns:a16="http://schemas.microsoft.com/office/drawing/2014/main" id="{83F9D3A4-F6B2-0378-136D-78EB227E4383}"/>
            </a:ext>
          </a:extLst>
        </xdr:cNvPr>
        <xdr:cNvPicPr>
          <a:picLocks noChangeAspect="1"/>
        </xdr:cNvPicPr>
      </xdr:nvPicPr>
      <xdr:blipFill>
        <a:blip xmlns:r="http://schemas.openxmlformats.org/officeDocument/2006/relationships" r:embed="rId2"/>
        <a:stretch>
          <a:fillRect/>
        </a:stretch>
      </xdr:blipFill>
      <xdr:spPr>
        <a:xfrm>
          <a:off x="13577555806" y="12498294"/>
          <a:ext cx="342900" cy="1130300"/>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6</xdr:col>
      <xdr:colOff>426892</xdr:colOff>
      <xdr:row>6</xdr:row>
      <xdr:rowOff>17869</xdr:rowOff>
    </xdr:from>
    <xdr:to>
      <xdr:col>7</xdr:col>
      <xdr:colOff>818356</xdr:colOff>
      <xdr:row>11</xdr:row>
      <xdr:rowOff>71438</xdr:rowOff>
    </xdr:to>
    <xdr:pic>
      <xdr:nvPicPr>
        <xdr:cNvPr id="6" name="Picture 5">
          <a:extLst>
            <a:ext uri="{FF2B5EF4-FFF2-40B4-BE49-F238E27FC236}">
              <a16:creationId xmlns:a16="http://schemas.microsoft.com/office/drawing/2014/main" id="{8D69A73E-A13A-C14A-0499-AE1A91BDCDE7}"/>
            </a:ext>
          </a:extLst>
        </xdr:cNvPr>
        <xdr:cNvPicPr>
          <a:picLocks noChangeAspect="1"/>
        </xdr:cNvPicPr>
      </xdr:nvPicPr>
      <xdr:blipFill>
        <a:blip xmlns:r="http://schemas.openxmlformats.org/officeDocument/2006/relationships" r:embed="rId1"/>
        <a:stretch>
          <a:fillRect/>
        </a:stretch>
      </xdr:blipFill>
      <xdr:spPr>
        <a:xfrm>
          <a:off x="13518395144" y="1256119"/>
          <a:ext cx="1216964" cy="1065600"/>
        </a:xfrm>
        <a:prstGeom prst="rect">
          <a:avLst/>
        </a:prstGeom>
      </xdr:spPr>
    </xdr:pic>
    <xdr:clientData/>
  </xdr:twoCellAnchor>
  <xdr:twoCellAnchor>
    <xdr:from>
      <xdr:col>7</xdr:col>
      <xdr:colOff>432595</xdr:colOff>
      <xdr:row>9</xdr:row>
      <xdr:rowOff>23813</xdr:rowOff>
    </xdr:from>
    <xdr:to>
      <xdr:col>7</xdr:col>
      <xdr:colOff>515938</xdr:colOff>
      <xdr:row>9</xdr:row>
      <xdr:rowOff>115095</xdr:rowOff>
    </xdr:to>
    <xdr:sp macro="" textlink="">
      <xdr:nvSpPr>
        <xdr:cNvPr id="7" name="Heart 6">
          <a:extLst>
            <a:ext uri="{FF2B5EF4-FFF2-40B4-BE49-F238E27FC236}">
              <a16:creationId xmlns:a16="http://schemas.microsoft.com/office/drawing/2014/main" id="{42A0BC29-D554-62AA-49FA-381F1A187C21}"/>
            </a:ext>
          </a:extLst>
        </xdr:cNvPr>
        <xdr:cNvSpPr/>
      </xdr:nvSpPr>
      <xdr:spPr>
        <a:xfrm>
          <a:off x="13518697562" y="1869282"/>
          <a:ext cx="83343" cy="91282"/>
        </a:xfrm>
        <a:prstGeom prst="hear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587376</xdr:colOff>
      <xdr:row>9</xdr:row>
      <xdr:rowOff>19845</xdr:rowOff>
    </xdr:from>
    <xdr:to>
      <xdr:col>7</xdr:col>
      <xdr:colOff>670719</xdr:colOff>
      <xdr:row>9</xdr:row>
      <xdr:rowOff>111127</xdr:rowOff>
    </xdr:to>
    <xdr:sp macro="" textlink="">
      <xdr:nvSpPr>
        <xdr:cNvPr id="8" name="Heart 7">
          <a:extLst>
            <a:ext uri="{FF2B5EF4-FFF2-40B4-BE49-F238E27FC236}">
              <a16:creationId xmlns:a16="http://schemas.microsoft.com/office/drawing/2014/main" id="{ED1448A1-CD59-3545-005D-44CCEC9AA0F3}"/>
            </a:ext>
          </a:extLst>
        </xdr:cNvPr>
        <xdr:cNvSpPr/>
      </xdr:nvSpPr>
      <xdr:spPr>
        <a:xfrm>
          <a:off x="13518542781" y="1865314"/>
          <a:ext cx="83343" cy="91282"/>
        </a:xfrm>
        <a:prstGeom prst="hear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7</xdr:col>
      <xdr:colOff>829235</xdr:colOff>
      <xdr:row>85</xdr:row>
      <xdr:rowOff>0</xdr:rowOff>
    </xdr:from>
    <xdr:to>
      <xdr:col>13</xdr:col>
      <xdr:colOff>197223</xdr:colOff>
      <xdr:row>95</xdr:row>
      <xdr:rowOff>12700</xdr:rowOff>
    </xdr:to>
    <xdr:pic>
      <xdr:nvPicPr>
        <xdr:cNvPr id="10" name="Picture 9">
          <a:extLst>
            <a:ext uri="{FF2B5EF4-FFF2-40B4-BE49-F238E27FC236}">
              <a16:creationId xmlns:a16="http://schemas.microsoft.com/office/drawing/2014/main" id="{5A714ED4-EBE2-BBC4-B84C-BCF7996FCCA9}"/>
            </a:ext>
          </a:extLst>
        </xdr:cNvPr>
        <xdr:cNvPicPr>
          <a:picLocks noChangeAspect="1"/>
        </xdr:cNvPicPr>
      </xdr:nvPicPr>
      <xdr:blipFill>
        <a:blip xmlns:r="http://schemas.openxmlformats.org/officeDocument/2006/relationships" r:embed="rId2"/>
        <a:stretch>
          <a:fillRect/>
        </a:stretch>
      </xdr:blipFill>
      <xdr:spPr>
        <a:xfrm>
          <a:off x="13575213777" y="17339235"/>
          <a:ext cx="4343400" cy="20447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51314</xdr:colOff>
      <xdr:row>6</xdr:row>
      <xdr:rowOff>150597</xdr:rowOff>
    </xdr:from>
    <xdr:to>
      <xdr:col>4</xdr:col>
      <xdr:colOff>622172</xdr:colOff>
      <xdr:row>10</xdr:row>
      <xdr:rowOff>113361</xdr:rowOff>
    </xdr:to>
    <xdr:pic>
      <xdr:nvPicPr>
        <xdr:cNvPr id="2" name="Picture 1">
          <a:extLst>
            <a:ext uri="{FF2B5EF4-FFF2-40B4-BE49-F238E27FC236}">
              <a16:creationId xmlns:a16="http://schemas.microsoft.com/office/drawing/2014/main" id="{63484D5F-096A-939C-57CB-18B1A455B2BA}"/>
            </a:ext>
          </a:extLst>
        </xdr:cNvPr>
        <xdr:cNvPicPr>
          <a:picLocks noChangeAspect="1"/>
        </xdr:cNvPicPr>
      </xdr:nvPicPr>
      <xdr:blipFill>
        <a:blip xmlns:r="http://schemas.openxmlformats.org/officeDocument/2006/relationships" r:embed="rId1"/>
        <a:stretch>
          <a:fillRect/>
        </a:stretch>
      </xdr:blipFill>
      <xdr:spPr>
        <a:xfrm>
          <a:off x="13500055100" y="1362870"/>
          <a:ext cx="3867727" cy="770946"/>
        </a:xfrm>
        <a:prstGeom prst="rect">
          <a:avLst/>
        </a:prstGeom>
      </xdr:spPr>
    </xdr:pic>
    <xdr:clientData/>
  </xdr:twoCellAnchor>
  <xdr:twoCellAnchor editAs="oneCell">
    <xdr:from>
      <xdr:col>0</xdr:col>
      <xdr:colOff>50969</xdr:colOff>
      <xdr:row>43</xdr:row>
      <xdr:rowOff>98277</xdr:rowOff>
    </xdr:from>
    <xdr:to>
      <xdr:col>4</xdr:col>
      <xdr:colOff>287101</xdr:colOff>
      <xdr:row>49</xdr:row>
      <xdr:rowOff>69474</xdr:rowOff>
    </xdr:to>
    <xdr:pic>
      <xdr:nvPicPr>
        <xdr:cNvPr id="3" name="Picture 2">
          <a:extLst>
            <a:ext uri="{FF2B5EF4-FFF2-40B4-BE49-F238E27FC236}">
              <a16:creationId xmlns:a16="http://schemas.microsoft.com/office/drawing/2014/main" id="{EFA51E24-161D-09EC-6FA2-88028BFA1728}"/>
            </a:ext>
          </a:extLst>
        </xdr:cNvPr>
        <xdr:cNvPicPr>
          <a:picLocks noChangeAspect="1"/>
        </xdr:cNvPicPr>
      </xdr:nvPicPr>
      <xdr:blipFill>
        <a:blip xmlns:r="http://schemas.openxmlformats.org/officeDocument/2006/relationships" r:embed="rId2"/>
        <a:stretch>
          <a:fillRect/>
        </a:stretch>
      </xdr:blipFill>
      <xdr:spPr>
        <a:xfrm>
          <a:off x="13499272473" y="8839660"/>
          <a:ext cx="3532728" cy="1187155"/>
        </a:xfrm>
        <a:prstGeom prst="rect">
          <a:avLst/>
        </a:prstGeom>
      </xdr:spPr>
    </xdr:pic>
    <xdr:clientData/>
  </xdr:twoCellAnchor>
  <xdr:twoCellAnchor>
    <xdr:from>
      <xdr:col>2</xdr:col>
      <xdr:colOff>209975</xdr:colOff>
      <xdr:row>43</xdr:row>
      <xdr:rowOff>94826</xdr:rowOff>
    </xdr:from>
    <xdr:to>
      <xdr:col>2</xdr:col>
      <xdr:colOff>338668</xdr:colOff>
      <xdr:row>44</xdr:row>
      <xdr:rowOff>125306</xdr:rowOff>
    </xdr:to>
    <xdr:sp macro="" textlink="">
      <xdr:nvSpPr>
        <xdr:cNvPr id="4" name="Rounded Rectangle 3">
          <a:extLst>
            <a:ext uri="{FF2B5EF4-FFF2-40B4-BE49-F238E27FC236}">
              <a16:creationId xmlns:a16="http://schemas.microsoft.com/office/drawing/2014/main" id="{774E6AAE-0C3B-FF20-CFD4-0346F693C9C5}"/>
            </a:ext>
          </a:extLst>
        </xdr:cNvPr>
        <xdr:cNvSpPr/>
      </xdr:nvSpPr>
      <xdr:spPr>
        <a:xfrm>
          <a:off x="13536872426" y="8886613"/>
          <a:ext cx="128693" cy="23368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en-US" sz="1100"/>
            <a:t>K</a:t>
          </a:r>
        </a:p>
      </xdr:txBody>
    </xdr:sp>
    <xdr:clientData/>
  </xdr:twoCellAnchor>
  <xdr:twoCellAnchor editAs="oneCell">
    <xdr:from>
      <xdr:col>8</xdr:col>
      <xdr:colOff>53086</xdr:colOff>
      <xdr:row>97</xdr:row>
      <xdr:rowOff>27265</xdr:rowOff>
    </xdr:from>
    <xdr:to>
      <xdr:col>10</xdr:col>
      <xdr:colOff>646799</xdr:colOff>
      <xdr:row>105</xdr:row>
      <xdr:rowOff>85752</xdr:rowOff>
    </xdr:to>
    <xdr:pic>
      <xdr:nvPicPr>
        <xdr:cNvPr id="5" name="Picture 4">
          <a:extLst>
            <a:ext uri="{FF2B5EF4-FFF2-40B4-BE49-F238E27FC236}">
              <a16:creationId xmlns:a16="http://schemas.microsoft.com/office/drawing/2014/main" id="{411A7E90-1BC3-0E37-7B6D-B3B7DB9B5BB3}"/>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3506060467" y="19930738"/>
          <a:ext cx="2243488" cy="16919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265434</xdr:colOff>
      <xdr:row>64</xdr:row>
      <xdr:rowOff>88812</xdr:rowOff>
    </xdr:from>
    <xdr:to>
      <xdr:col>12</xdr:col>
      <xdr:colOff>218023</xdr:colOff>
      <xdr:row>79</xdr:row>
      <xdr:rowOff>100212</xdr:rowOff>
    </xdr:to>
    <xdr:pic>
      <xdr:nvPicPr>
        <xdr:cNvPr id="6" name="Picture 5">
          <a:extLst>
            <a:ext uri="{FF2B5EF4-FFF2-40B4-BE49-F238E27FC236}">
              <a16:creationId xmlns:a16="http://schemas.microsoft.com/office/drawing/2014/main" id="{EF3D1C06-362C-F03B-5BB1-FAFC922A4C25}"/>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3504839468" y="13229841"/>
          <a:ext cx="4077027" cy="30741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502283</xdr:colOff>
      <xdr:row>105</xdr:row>
      <xdr:rowOff>178387</xdr:rowOff>
    </xdr:from>
    <xdr:to>
      <xdr:col>11</xdr:col>
      <xdr:colOff>177189</xdr:colOff>
      <xdr:row>116</xdr:row>
      <xdr:rowOff>175593</xdr:rowOff>
    </xdr:to>
    <xdr:pic>
      <xdr:nvPicPr>
        <xdr:cNvPr id="7" name="Picture 6">
          <a:extLst>
            <a:ext uri="{FF2B5EF4-FFF2-40B4-BE49-F238E27FC236}">
              <a16:creationId xmlns:a16="http://schemas.microsoft.com/office/drawing/2014/main" id="{6B15DD11-D359-36A0-EAFB-57AD5F9AA787}"/>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3505705190" y="21715300"/>
          <a:ext cx="2974456" cy="22431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xdr:col>
      <xdr:colOff>779968</xdr:colOff>
      <xdr:row>98</xdr:row>
      <xdr:rowOff>28585</xdr:rowOff>
    </xdr:from>
    <xdr:to>
      <xdr:col>7</xdr:col>
      <xdr:colOff>710546</xdr:colOff>
      <xdr:row>101</xdr:row>
      <xdr:rowOff>151093</xdr:rowOff>
    </xdr:to>
    <xdr:sp macro="" textlink="">
      <xdr:nvSpPr>
        <xdr:cNvPr id="8" name="Rounded Rectangular Callout 7">
          <a:extLst>
            <a:ext uri="{FF2B5EF4-FFF2-40B4-BE49-F238E27FC236}">
              <a16:creationId xmlns:a16="http://schemas.microsoft.com/office/drawing/2014/main" id="{CBE1DFC0-B6F4-A3FC-9910-E374F5B9BFAC}"/>
            </a:ext>
          </a:extLst>
        </xdr:cNvPr>
        <xdr:cNvSpPr/>
      </xdr:nvSpPr>
      <xdr:spPr>
        <a:xfrm>
          <a:off x="13508471383" y="20136238"/>
          <a:ext cx="1580353" cy="735048"/>
        </a:xfrm>
        <a:prstGeom prst="wedgeRoundRectCallout">
          <a:avLst>
            <a:gd name="adj1" fmla="val -62952"/>
            <a:gd name="adj2" fmla="val 49369"/>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הדר שואל: האם ייתכן שערך הספרים יהיה</a:t>
          </a:r>
          <a:r>
            <a:rPr lang="he-IL" sz="1100" baseline="0"/>
            <a:t> שלילי?</a:t>
          </a:r>
          <a:endParaRPr lang="en-US" sz="1100"/>
        </a:p>
      </xdr:txBody>
    </xdr:sp>
    <xdr:clientData/>
  </xdr:twoCellAnchor>
  <xdr:twoCellAnchor>
    <xdr:from>
      <xdr:col>5</xdr:col>
      <xdr:colOff>387942</xdr:colOff>
      <xdr:row>108</xdr:row>
      <xdr:rowOff>65339</xdr:rowOff>
    </xdr:from>
    <xdr:to>
      <xdr:col>7</xdr:col>
      <xdr:colOff>318520</xdr:colOff>
      <xdr:row>111</xdr:row>
      <xdr:rowOff>187846</xdr:rowOff>
    </xdr:to>
    <xdr:sp macro="" textlink="">
      <xdr:nvSpPr>
        <xdr:cNvPr id="9" name="Rounded Rectangular Callout 8">
          <a:extLst>
            <a:ext uri="{FF2B5EF4-FFF2-40B4-BE49-F238E27FC236}">
              <a16:creationId xmlns:a16="http://schemas.microsoft.com/office/drawing/2014/main" id="{90CD8376-A001-B5FE-4293-6B02975CAE70}"/>
            </a:ext>
          </a:extLst>
        </xdr:cNvPr>
        <xdr:cNvSpPr/>
      </xdr:nvSpPr>
      <xdr:spPr>
        <a:xfrm>
          <a:off x="13508863409" y="22214792"/>
          <a:ext cx="1580353" cy="735048"/>
        </a:xfrm>
        <a:prstGeom prst="wedgeRoundRectCallout">
          <a:avLst>
            <a:gd name="adj1" fmla="val -62952"/>
            <a:gd name="adj2" fmla="val 49369"/>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עיליי תוהה:</a:t>
          </a:r>
          <a:r>
            <a:rPr lang="he-IL" sz="1100" baseline="0"/>
            <a:t> מה הקשר לשאלה שלך? למה זה קשור?</a:t>
          </a:r>
          <a:endParaRPr lang="en-US" sz="1100"/>
        </a:p>
      </xdr:txBody>
    </xdr:sp>
    <xdr:clientData/>
  </xdr:twoCellAnchor>
  <xdr:twoCellAnchor>
    <xdr:from>
      <xdr:col>5</xdr:col>
      <xdr:colOff>44919</xdr:colOff>
      <xdr:row>103</xdr:row>
      <xdr:rowOff>191929</xdr:rowOff>
    </xdr:from>
    <xdr:to>
      <xdr:col>5</xdr:col>
      <xdr:colOff>751382</xdr:colOff>
      <xdr:row>105</xdr:row>
      <xdr:rowOff>61254</xdr:rowOff>
    </xdr:to>
    <xdr:cxnSp macro="">
      <xdr:nvCxnSpPr>
        <xdr:cNvPr id="11" name="Straight Connector 10">
          <a:extLst>
            <a:ext uri="{FF2B5EF4-FFF2-40B4-BE49-F238E27FC236}">
              <a16:creationId xmlns:a16="http://schemas.microsoft.com/office/drawing/2014/main" id="{1766AEEC-2EC1-3FBD-BD6D-B3640238018B}"/>
            </a:ext>
          </a:extLst>
        </xdr:cNvPr>
        <xdr:cNvCxnSpPr/>
      </xdr:nvCxnSpPr>
      <xdr:spPr>
        <a:xfrm>
          <a:off x="13510080322" y="21320482"/>
          <a:ext cx="706463" cy="277685"/>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808552</xdr:colOff>
      <xdr:row>104</xdr:row>
      <xdr:rowOff>106174</xdr:rowOff>
    </xdr:from>
    <xdr:to>
      <xdr:col>5</xdr:col>
      <xdr:colOff>796302</xdr:colOff>
      <xdr:row>105</xdr:row>
      <xdr:rowOff>20418</xdr:rowOff>
    </xdr:to>
    <xdr:cxnSp macro="">
      <xdr:nvCxnSpPr>
        <xdr:cNvPr id="12" name="Straight Connector 11">
          <a:extLst>
            <a:ext uri="{FF2B5EF4-FFF2-40B4-BE49-F238E27FC236}">
              <a16:creationId xmlns:a16="http://schemas.microsoft.com/office/drawing/2014/main" id="{EF9A02C5-9230-8F95-746D-3368E97F1147}"/>
            </a:ext>
          </a:extLst>
        </xdr:cNvPr>
        <xdr:cNvCxnSpPr/>
      </xdr:nvCxnSpPr>
      <xdr:spPr>
        <a:xfrm flipV="1">
          <a:off x="13510035402" y="21438907"/>
          <a:ext cx="812637" cy="118424"/>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40836</xdr:colOff>
      <xdr:row>106</xdr:row>
      <xdr:rowOff>130675</xdr:rowOff>
    </xdr:from>
    <xdr:to>
      <xdr:col>5</xdr:col>
      <xdr:colOff>747299</xdr:colOff>
      <xdr:row>107</xdr:row>
      <xdr:rowOff>204180</xdr:rowOff>
    </xdr:to>
    <xdr:cxnSp macro="">
      <xdr:nvCxnSpPr>
        <xdr:cNvPr id="14" name="Straight Connector 13">
          <a:extLst>
            <a:ext uri="{FF2B5EF4-FFF2-40B4-BE49-F238E27FC236}">
              <a16:creationId xmlns:a16="http://schemas.microsoft.com/office/drawing/2014/main" id="{CC8B0867-9EFD-E968-ECDE-91D36424ABB9}"/>
            </a:ext>
          </a:extLst>
        </xdr:cNvPr>
        <xdr:cNvCxnSpPr/>
      </xdr:nvCxnSpPr>
      <xdr:spPr>
        <a:xfrm>
          <a:off x="13510084405" y="21871768"/>
          <a:ext cx="706463" cy="277685"/>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804469</xdr:colOff>
      <xdr:row>107</xdr:row>
      <xdr:rowOff>44920</xdr:rowOff>
    </xdr:from>
    <xdr:to>
      <xdr:col>5</xdr:col>
      <xdr:colOff>792219</xdr:colOff>
      <xdr:row>107</xdr:row>
      <xdr:rowOff>163344</xdr:rowOff>
    </xdr:to>
    <xdr:cxnSp macro="">
      <xdr:nvCxnSpPr>
        <xdr:cNvPr id="15" name="Straight Connector 14">
          <a:extLst>
            <a:ext uri="{FF2B5EF4-FFF2-40B4-BE49-F238E27FC236}">
              <a16:creationId xmlns:a16="http://schemas.microsoft.com/office/drawing/2014/main" id="{2ECD5148-4A8B-E0A0-4BFC-95EB3953CE50}"/>
            </a:ext>
          </a:extLst>
        </xdr:cNvPr>
        <xdr:cNvCxnSpPr/>
      </xdr:nvCxnSpPr>
      <xdr:spPr>
        <a:xfrm flipV="1">
          <a:off x="13510039485" y="21990193"/>
          <a:ext cx="812637" cy="118424"/>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2</xdr:col>
      <xdr:colOff>121888</xdr:colOff>
      <xdr:row>193</xdr:row>
      <xdr:rowOff>114675</xdr:rowOff>
    </xdr:from>
    <xdr:to>
      <xdr:col>7</xdr:col>
      <xdr:colOff>724528</xdr:colOff>
      <xdr:row>211</xdr:row>
      <xdr:rowOff>3931</xdr:rowOff>
    </xdr:to>
    <xdr:pic>
      <xdr:nvPicPr>
        <xdr:cNvPr id="20" name="Picture 19">
          <a:extLst>
            <a:ext uri="{FF2B5EF4-FFF2-40B4-BE49-F238E27FC236}">
              <a16:creationId xmlns:a16="http://schemas.microsoft.com/office/drawing/2014/main" id="{9EED15C3-3FA9-21CC-DCD2-9CCC0A443007}"/>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3521708599" y="39693065"/>
          <a:ext cx="4731123" cy="35695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401580</xdr:colOff>
      <xdr:row>218</xdr:row>
      <xdr:rowOff>75296</xdr:rowOff>
    </xdr:from>
    <xdr:to>
      <xdr:col>7</xdr:col>
      <xdr:colOff>466837</xdr:colOff>
      <xdr:row>218</xdr:row>
      <xdr:rowOff>100395</xdr:rowOff>
    </xdr:to>
    <xdr:cxnSp macro="">
      <xdr:nvCxnSpPr>
        <xdr:cNvPr id="21" name="Straight Arrow Connector 20">
          <a:extLst>
            <a:ext uri="{FF2B5EF4-FFF2-40B4-BE49-F238E27FC236}">
              <a16:creationId xmlns:a16="http://schemas.microsoft.com/office/drawing/2014/main" id="{460F10E9-992B-AB49-BB52-2A577920633D}"/>
            </a:ext>
          </a:extLst>
        </xdr:cNvPr>
        <xdr:cNvCxnSpPr/>
      </xdr:nvCxnSpPr>
      <xdr:spPr>
        <a:xfrm flipV="1">
          <a:off x="13518746663" y="21271596"/>
          <a:ext cx="5843757" cy="2509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381499</xdr:colOff>
      <xdr:row>218</xdr:row>
      <xdr:rowOff>77807</xdr:rowOff>
    </xdr:from>
    <xdr:to>
      <xdr:col>7</xdr:col>
      <xdr:colOff>313734</xdr:colOff>
      <xdr:row>219</xdr:row>
      <xdr:rowOff>65256</xdr:rowOff>
    </xdr:to>
    <xdr:sp macro="" textlink="">
      <xdr:nvSpPr>
        <xdr:cNvPr id="22" name="Left Brace 21">
          <a:extLst>
            <a:ext uri="{FF2B5EF4-FFF2-40B4-BE49-F238E27FC236}">
              <a16:creationId xmlns:a16="http://schemas.microsoft.com/office/drawing/2014/main" id="{DC9DA8BD-FC9B-084F-A7BE-BBF18558B7C5}"/>
            </a:ext>
          </a:extLst>
        </xdr:cNvPr>
        <xdr:cNvSpPr/>
      </xdr:nvSpPr>
      <xdr:spPr>
        <a:xfrm rot="16200000">
          <a:off x="13520008809" y="20165064"/>
          <a:ext cx="190649" cy="240873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361423</xdr:colOff>
      <xdr:row>218</xdr:row>
      <xdr:rowOff>50198</xdr:rowOff>
    </xdr:from>
    <xdr:to>
      <xdr:col>4</xdr:col>
      <xdr:colOff>371462</xdr:colOff>
      <xdr:row>223</xdr:row>
      <xdr:rowOff>155612</xdr:rowOff>
    </xdr:to>
    <xdr:cxnSp macro="">
      <xdr:nvCxnSpPr>
        <xdr:cNvPr id="23" name="Straight Arrow Connector 22">
          <a:extLst>
            <a:ext uri="{FF2B5EF4-FFF2-40B4-BE49-F238E27FC236}">
              <a16:creationId xmlns:a16="http://schemas.microsoft.com/office/drawing/2014/main" id="{722A045B-0A70-B94F-9A99-765850A91DA5}"/>
            </a:ext>
          </a:extLst>
        </xdr:cNvPr>
        <xdr:cNvCxnSpPr/>
      </xdr:nvCxnSpPr>
      <xdr:spPr>
        <a:xfrm flipH="1">
          <a:off x="13521318538" y="21246498"/>
          <a:ext cx="10039" cy="1121414"/>
        </a:xfrm>
        <a:prstGeom prst="straightConnector1">
          <a:avLst/>
        </a:prstGeom>
        <a:ln>
          <a:tailEnd type="triangle"/>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xdr:col>
      <xdr:colOff>376476</xdr:colOff>
      <xdr:row>218</xdr:row>
      <xdr:rowOff>57728</xdr:rowOff>
    </xdr:from>
    <xdr:to>
      <xdr:col>4</xdr:col>
      <xdr:colOff>308712</xdr:colOff>
      <xdr:row>219</xdr:row>
      <xdr:rowOff>45177</xdr:rowOff>
    </xdr:to>
    <xdr:sp macro="" textlink="">
      <xdr:nvSpPr>
        <xdr:cNvPr id="24" name="Left Brace 23">
          <a:extLst>
            <a:ext uri="{FF2B5EF4-FFF2-40B4-BE49-F238E27FC236}">
              <a16:creationId xmlns:a16="http://schemas.microsoft.com/office/drawing/2014/main" id="{93D5C06E-138C-1E49-9DBA-31C791C69DA5}"/>
            </a:ext>
          </a:extLst>
        </xdr:cNvPr>
        <xdr:cNvSpPr/>
      </xdr:nvSpPr>
      <xdr:spPr>
        <a:xfrm rot="16200000">
          <a:off x="13522490331" y="20144985"/>
          <a:ext cx="190649" cy="2408736"/>
        </a:xfrm>
        <a:prstGeom prst="leftBrace">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89703</xdr:colOff>
      <xdr:row>292</xdr:row>
      <xdr:rowOff>108587</xdr:rowOff>
    </xdr:from>
    <xdr:to>
      <xdr:col>8</xdr:col>
      <xdr:colOff>774276</xdr:colOff>
      <xdr:row>292</xdr:row>
      <xdr:rowOff>132193</xdr:rowOff>
    </xdr:to>
    <xdr:cxnSp macro="">
      <xdr:nvCxnSpPr>
        <xdr:cNvPr id="10" name="Straight Arrow Connector 9">
          <a:extLst>
            <a:ext uri="{FF2B5EF4-FFF2-40B4-BE49-F238E27FC236}">
              <a16:creationId xmlns:a16="http://schemas.microsoft.com/office/drawing/2014/main" id="{A950D68C-8AFC-FA43-8E6E-C5BA693CFF49}"/>
            </a:ext>
          </a:extLst>
        </xdr:cNvPr>
        <xdr:cNvCxnSpPr/>
      </xdr:nvCxnSpPr>
      <xdr:spPr>
        <a:xfrm flipV="1">
          <a:off x="13517613724" y="36989387"/>
          <a:ext cx="6463073" cy="23606"/>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306878</xdr:colOff>
      <xdr:row>290</xdr:row>
      <xdr:rowOff>37244</xdr:rowOff>
    </xdr:from>
    <xdr:to>
      <xdr:col>8</xdr:col>
      <xdr:colOff>486283</xdr:colOff>
      <xdr:row>291</xdr:row>
      <xdr:rowOff>37769</xdr:rowOff>
    </xdr:to>
    <xdr:sp macro="" textlink="">
      <xdr:nvSpPr>
        <xdr:cNvPr id="13" name="Freeform 12">
          <a:extLst>
            <a:ext uri="{FF2B5EF4-FFF2-40B4-BE49-F238E27FC236}">
              <a16:creationId xmlns:a16="http://schemas.microsoft.com/office/drawing/2014/main" id="{A76A6ECA-E58F-954B-9B88-CDCC6DA68952}"/>
            </a:ext>
          </a:extLst>
        </xdr:cNvPr>
        <xdr:cNvSpPr/>
      </xdr:nvSpPr>
      <xdr:spPr>
        <a:xfrm>
          <a:off x="13517901717" y="36511644"/>
          <a:ext cx="1830405" cy="203725"/>
        </a:xfrm>
        <a:custGeom>
          <a:avLst/>
          <a:gdLst>
            <a:gd name="connsiteX0" fmla="*/ 0 w 1831821"/>
            <a:gd name="connsiteY0" fmla="*/ 156324 h 203536"/>
            <a:gd name="connsiteX1" fmla="*/ 1033940 w 1831821"/>
            <a:gd name="connsiteY1" fmla="*/ 525 h 203536"/>
            <a:gd name="connsiteX2" fmla="*/ 1831821 w 1831821"/>
            <a:gd name="connsiteY2" fmla="*/ 203536 h 203536"/>
          </a:gdLst>
          <a:ahLst/>
          <a:cxnLst>
            <a:cxn ang="0">
              <a:pos x="connsiteX0" y="connsiteY0"/>
            </a:cxn>
            <a:cxn ang="0">
              <a:pos x="connsiteX1" y="connsiteY1"/>
            </a:cxn>
            <a:cxn ang="0">
              <a:pos x="connsiteX2" y="connsiteY2"/>
            </a:cxn>
          </a:cxnLst>
          <a:rect l="l" t="t" r="r" b="b"/>
          <a:pathLst>
            <a:path w="1831821" h="203536">
              <a:moveTo>
                <a:pt x="0" y="156324"/>
              </a:moveTo>
              <a:cubicBezTo>
                <a:pt x="364318" y="74490"/>
                <a:pt x="728637" y="-7344"/>
                <a:pt x="1033940" y="525"/>
              </a:cubicBezTo>
              <a:cubicBezTo>
                <a:pt x="1339243" y="8394"/>
                <a:pt x="1585532" y="105965"/>
                <a:pt x="1831821" y="203536"/>
              </a:cubicBezTo>
            </a:path>
          </a:pathLst>
        </a:cu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75539</xdr:colOff>
      <xdr:row>290</xdr:row>
      <xdr:rowOff>60850</xdr:rowOff>
    </xdr:from>
    <xdr:to>
      <xdr:col>6</xdr:col>
      <xdr:colOff>254944</xdr:colOff>
      <xdr:row>291</xdr:row>
      <xdr:rowOff>61375</xdr:rowOff>
    </xdr:to>
    <xdr:sp macro="" textlink="">
      <xdr:nvSpPr>
        <xdr:cNvPr id="16" name="Freeform 15">
          <a:extLst>
            <a:ext uri="{FF2B5EF4-FFF2-40B4-BE49-F238E27FC236}">
              <a16:creationId xmlns:a16="http://schemas.microsoft.com/office/drawing/2014/main" id="{9EEA4D1A-1CCC-4746-9DA5-C9C267DB0AB9}"/>
            </a:ext>
          </a:extLst>
        </xdr:cNvPr>
        <xdr:cNvSpPr/>
      </xdr:nvSpPr>
      <xdr:spPr>
        <a:xfrm>
          <a:off x="13519784056" y="36535250"/>
          <a:ext cx="1830405" cy="203725"/>
        </a:xfrm>
        <a:custGeom>
          <a:avLst/>
          <a:gdLst>
            <a:gd name="connsiteX0" fmla="*/ 0 w 1831821"/>
            <a:gd name="connsiteY0" fmla="*/ 156324 h 203536"/>
            <a:gd name="connsiteX1" fmla="*/ 1033940 w 1831821"/>
            <a:gd name="connsiteY1" fmla="*/ 525 h 203536"/>
            <a:gd name="connsiteX2" fmla="*/ 1831821 w 1831821"/>
            <a:gd name="connsiteY2" fmla="*/ 203536 h 203536"/>
          </a:gdLst>
          <a:ahLst/>
          <a:cxnLst>
            <a:cxn ang="0">
              <a:pos x="connsiteX0" y="connsiteY0"/>
            </a:cxn>
            <a:cxn ang="0">
              <a:pos x="connsiteX1" y="connsiteY1"/>
            </a:cxn>
            <a:cxn ang="0">
              <a:pos x="connsiteX2" y="connsiteY2"/>
            </a:cxn>
          </a:cxnLst>
          <a:rect l="l" t="t" r="r" b="b"/>
          <a:pathLst>
            <a:path w="1831821" h="203536">
              <a:moveTo>
                <a:pt x="0" y="156324"/>
              </a:moveTo>
              <a:cubicBezTo>
                <a:pt x="364318" y="74490"/>
                <a:pt x="728637" y="-7344"/>
                <a:pt x="1033940" y="525"/>
              </a:cubicBezTo>
              <a:cubicBezTo>
                <a:pt x="1339243" y="8394"/>
                <a:pt x="1585532" y="105965"/>
                <a:pt x="1831821" y="203536"/>
              </a:cubicBezTo>
            </a:path>
          </a:pathLst>
        </a:cu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80260</xdr:colOff>
      <xdr:row>290</xdr:row>
      <xdr:rowOff>8916</xdr:rowOff>
    </xdr:from>
    <xdr:to>
      <xdr:col>4</xdr:col>
      <xdr:colOff>259664</xdr:colOff>
      <xdr:row>291</xdr:row>
      <xdr:rowOff>9441</xdr:rowOff>
    </xdr:to>
    <xdr:sp macro="" textlink="">
      <xdr:nvSpPr>
        <xdr:cNvPr id="17" name="Freeform 16">
          <a:extLst>
            <a:ext uri="{FF2B5EF4-FFF2-40B4-BE49-F238E27FC236}">
              <a16:creationId xmlns:a16="http://schemas.microsoft.com/office/drawing/2014/main" id="{E5243057-0E26-324E-9772-BB29EA64C338}"/>
            </a:ext>
          </a:extLst>
        </xdr:cNvPr>
        <xdr:cNvSpPr/>
      </xdr:nvSpPr>
      <xdr:spPr>
        <a:xfrm>
          <a:off x="13521430336" y="36483316"/>
          <a:ext cx="1830404" cy="203725"/>
        </a:xfrm>
        <a:custGeom>
          <a:avLst/>
          <a:gdLst>
            <a:gd name="connsiteX0" fmla="*/ 0 w 1831821"/>
            <a:gd name="connsiteY0" fmla="*/ 156324 h 203536"/>
            <a:gd name="connsiteX1" fmla="*/ 1033940 w 1831821"/>
            <a:gd name="connsiteY1" fmla="*/ 525 h 203536"/>
            <a:gd name="connsiteX2" fmla="*/ 1831821 w 1831821"/>
            <a:gd name="connsiteY2" fmla="*/ 203536 h 203536"/>
          </a:gdLst>
          <a:ahLst/>
          <a:cxnLst>
            <a:cxn ang="0">
              <a:pos x="connsiteX0" y="connsiteY0"/>
            </a:cxn>
            <a:cxn ang="0">
              <a:pos x="connsiteX1" y="connsiteY1"/>
            </a:cxn>
            <a:cxn ang="0">
              <a:pos x="connsiteX2" y="connsiteY2"/>
            </a:cxn>
          </a:cxnLst>
          <a:rect l="l" t="t" r="r" b="b"/>
          <a:pathLst>
            <a:path w="1831821" h="203536">
              <a:moveTo>
                <a:pt x="0" y="156324"/>
              </a:moveTo>
              <a:cubicBezTo>
                <a:pt x="364318" y="74490"/>
                <a:pt x="728637" y="-7344"/>
                <a:pt x="1033940" y="525"/>
              </a:cubicBezTo>
              <a:cubicBezTo>
                <a:pt x="1339243" y="8394"/>
                <a:pt x="1585532" y="105965"/>
                <a:pt x="1831821" y="203536"/>
              </a:cubicBezTo>
            </a:path>
          </a:pathLst>
        </a:cu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297437</xdr:colOff>
      <xdr:row>292</xdr:row>
      <xdr:rowOff>92062</xdr:rowOff>
    </xdr:from>
    <xdr:to>
      <xdr:col>8</xdr:col>
      <xdr:colOff>488644</xdr:colOff>
      <xdr:row>293</xdr:row>
      <xdr:rowOff>75538</xdr:rowOff>
    </xdr:to>
    <xdr:sp macro="" textlink="">
      <xdr:nvSpPr>
        <xdr:cNvPr id="18" name="Left Brace 17">
          <a:extLst>
            <a:ext uri="{FF2B5EF4-FFF2-40B4-BE49-F238E27FC236}">
              <a16:creationId xmlns:a16="http://schemas.microsoft.com/office/drawing/2014/main" id="{D98D1AF2-8E96-0A4F-A89A-4A40C0549C58}"/>
            </a:ext>
          </a:extLst>
        </xdr:cNvPr>
        <xdr:cNvSpPr/>
      </xdr:nvSpPr>
      <xdr:spPr>
        <a:xfrm rot="16200000">
          <a:off x="13518314372" y="36557846"/>
          <a:ext cx="186676" cy="1016707"/>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335205</xdr:colOff>
      <xdr:row>292</xdr:row>
      <xdr:rowOff>92061</xdr:rowOff>
    </xdr:from>
    <xdr:to>
      <xdr:col>7</xdr:col>
      <xdr:colOff>271470</xdr:colOff>
      <xdr:row>293</xdr:row>
      <xdr:rowOff>61375</xdr:rowOff>
    </xdr:to>
    <xdr:sp macro="" textlink="">
      <xdr:nvSpPr>
        <xdr:cNvPr id="19" name="Left Brace 18">
          <a:extLst>
            <a:ext uri="{FF2B5EF4-FFF2-40B4-BE49-F238E27FC236}">
              <a16:creationId xmlns:a16="http://schemas.microsoft.com/office/drawing/2014/main" id="{5F97932E-4DA3-0B4D-9B67-20240A88D2C4}"/>
            </a:ext>
          </a:extLst>
        </xdr:cNvPr>
        <xdr:cNvSpPr/>
      </xdr:nvSpPr>
      <xdr:spPr>
        <a:xfrm rot="16200000">
          <a:off x="13519236656" y="36678235"/>
          <a:ext cx="172514" cy="761765"/>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354090</xdr:colOff>
      <xdr:row>292</xdr:row>
      <xdr:rowOff>96782</xdr:rowOff>
    </xdr:from>
    <xdr:to>
      <xdr:col>6</xdr:col>
      <xdr:colOff>290355</xdr:colOff>
      <xdr:row>293</xdr:row>
      <xdr:rowOff>66096</xdr:rowOff>
    </xdr:to>
    <xdr:sp macro="" textlink="">
      <xdr:nvSpPr>
        <xdr:cNvPr id="25" name="Left Brace 24">
          <a:extLst>
            <a:ext uri="{FF2B5EF4-FFF2-40B4-BE49-F238E27FC236}">
              <a16:creationId xmlns:a16="http://schemas.microsoft.com/office/drawing/2014/main" id="{7B2A48B1-4A22-3B4D-B37C-329D276D40D1}"/>
            </a:ext>
          </a:extLst>
        </xdr:cNvPr>
        <xdr:cNvSpPr/>
      </xdr:nvSpPr>
      <xdr:spPr>
        <a:xfrm rot="16200000">
          <a:off x="13520043271" y="36682956"/>
          <a:ext cx="172514" cy="761765"/>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722343</xdr:colOff>
      <xdr:row>293</xdr:row>
      <xdr:rowOff>132193</xdr:rowOff>
    </xdr:from>
    <xdr:to>
      <xdr:col>6</xdr:col>
      <xdr:colOff>727064</xdr:colOff>
      <xdr:row>298</xdr:row>
      <xdr:rowOff>174684</xdr:rowOff>
    </xdr:to>
    <xdr:cxnSp macro="">
      <xdr:nvCxnSpPr>
        <xdr:cNvPr id="26" name="Straight Arrow Connector 25">
          <a:extLst>
            <a:ext uri="{FF2B5EF4-FFF2-40B4-BE49-F238E27FC236}">
              <a16:creationId xmlns:a16="http://schemas.microsoft.com/office/drawing/2014/main" id="{AC95E256-2888-2047-B3A0-11B7AEB2B802}"/>
            </a:ext>
          </a:extLst>
        </xdr:cNvPr>
        <xdr:cNvCxnSpPr/>
      </xdr:nvCxnSpPr>
      <xdr:spPr>
        <a:xfrm flipH="1">
          <a:off x="13519311936" y="37216193"/>
          <a:ext cx="4721" cy="105849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731785</xdr:colOff>
      <xdr:row>293</xdr:row>
      <xdr:rowOff>66097</xdr:rowOff>
    </xdr:from>
    <xdr:to>
      <xdr:col>5</xdr:col>
      <xdr:colOff>736507</xdr:colOff>
      <xdr:row>295</xdr:row>
      <xdr:rowOff>94425</xdr:rowOff>
    </xdr:to>
    <xdr:cxnSp macro="">
      <xdr:nvCxnSpPr>
        <xdr:cNvPr id="27" name="Straight Arrow Connector 26">
          <a:extLst>
            <a:ext uri="{FF2B5EF4-FFF2-40B4-BE49-F238E27FC236}">
              <a16:creationId xmlns:a16="http://schemas.microsoft.com/office/drawing/2014/main" id="{1A900079-6BF3-3843-BBE1-043E86E82712}"/>
            </a:ext>
          </a:extLst>
        </xdr:cNvPr>
        <xdr:cNvCxnSpPr/>
      </xdr:nvCxnSpPr>
      <xdr:spPr>
        <a:xfrm>
          <a:off x="13520127993" y="37150097"/>
          <a:ext cx="4722" cy="43472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382417</xdr:colOff>
      <xdr:row>292</xdr:row>
      <xdr:rowOff>87339</xdr:rowOff>
    </xdr:from>
    <xdr:to>
      <xdr:col>5</xdr:col>
      <xdr:colOff>318682</xdr:colOff>
      <xdr:row>293</xdr:row>
      <xdr:rowOff>56653</xdr:rowOff>
    </xdr:to>
    <xdr:sp macro="" textlink="">
      <xdr:nvSpPr>
        <xdr:cNvPr id="28" name="Left Brace 27">
          <a:extLst>
            <a:ext uri="{FF2B5EF4-FFF2-40B4-BE49-F238E27FC236}">
              <a16:creationId xmlns:a16="http://schemas.microsoft.com/office/drawing/2014/main" id="{4C907CB9-7160-3045-98C3-318EDEDDF0BD}"/>
            </a:ext>
          </a:extLst>
        </xdr:cNvPr>
        <xdr:cNvSpPr/>
      </xdr:nvSpPr>
      <xdr:spPr>
        <a:xfrm rot="16200000">
          <a:off x="13520840444" y="36673513"/>
          <a:ext cx="172514" cy="761765"/>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363532</xdr:colOff>
      <xdr:row>292</xdr:row>
      <xdr:rowOff>92061</xdr:rowOff>
    </xdr:from>
    <xdr:to>
      <xdr:col>4</xdr:col>
      <xdr:colOff>299797</xdr:colOff>
      <xdr:row>293</xdr:row>
      <xdr:rowOff>61375</xdr:rowOff>
    </xdr:to>
    <xdr:sp macro="" textlink="">
      <xdr:nvSpPr>
        <xdr:cNvPr id="29" name="Left Brace 28">
          <a:extLst>
            <a:ext uri="{FF2B5EF4-FFF2-40B4-BE49-F238E27FC236}">
              <a16:creationId xmlns:a16="http://schemas.microsoft.com/office/drawing/2014/main" id="{142EF85E-571F-A444-8813-BC1454A9C539}"/>
            </a:ext>
          </a:extLst>
        </xdr:cNvPr>
        <xdr:cNvSpPr/>
      </xdr:nvSpPr>
      <xdr:spPr>
        <a:xfrm rot="16200000">
          <a:off x="13521684829" y="36678235"/>
          <a:ext cx="172514" cy="761765"/>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448513</xdr:colOff>
      <xdr:row>293</xdr:row>
      <xdr:rowOff>61376</xdr:rowOff>
    </xdr:from>
    <xdr:to>
      <xdr:col>4</xdr:col>
      <xdr:colOff>769554</xdr:colOff>
      <xdr:row>298</xdr:row>
      <xdr:rowOff>51933</xdr:rowOff>
    </xdr:to>
    <xdr:cxnSp macro="">
      <xdr:nvCxnSpPr>
        <xdr:cNvPr id="30" name="Straight Arrow Connector 29">
          <a:extLst>
            <a:ext uri="{FF2B5EF4-FFF2-40B4-BE49-F238E27FC236}">
              <a16:creationId xmlns:a16="http://schemas.microsoft.com/office/drawing/2014/main" id="{512FC855-B0D8-F241-9EB2-94F64254E7C6}"/>
            </a:ext>
          </a:extLst>
        </xdr:cNvPr>
        <xdr:cNvCxnSpPr/>
      </xdr:nvCxnSpPr>
      <xdr:spPr>
        <a:xfrm>
          <a:off x="13520920446" y="37145376"/>
          <a:ext cx="1146541" cy="100655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694016</xdr:colOff>
      <xdr:row>293</xdr:row>
      <xdr:rowOff>51933</xdr:rowOff>
    </xdr:from>
    <xdr:to>
      <xdr:col>3</xdr:col>
      <xdr:colOff>736505</xdr:colOff>
      <xdr:row>294</xdr:row>
      <xdr:rowOff>122751</xdr:rowOff>
    </xdr:to>
    <xdr:cxnSp macro="">
      <xdr:nvCxnSpPr>
        <xdr:cNvPr id="31" name="Straight Arrow Connector 30">
          <a:extLst>
            <a:ext uri="{FF2B5EF4-FFF2-40B4-BE49-F238E27FC236}">
              <a16:creationId xmlns:a16="http://schemas.microsoft.com/office/drawing/2014/main" id="{EE940B9E-52D7-4849-AEEE-635FFD9A330D}"/>
            </a:ext>
          </a:extLst>
        </xdr:cNvPr>
        <xdr:cNvCxnSpPr/>
      </xdr:nvCxnSpPr>
      <xdr:spPr>
        <a:xfrm>
          <a:off x="13521778995" y="37135933"/>
          <a:ext cx="867989" cy="27401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141861</xdr:colOff>
      <xdr:row>302</xdr:row>
      <xdr:rowOff>113150</xdr:rowOff>
    </xdr:from>
    <xdr:to>
      <xdr:col>2</xdr:col>
      <xdr:colOff>238462</xdr:colOff>
      <xdr:row>311</xdr:row>
      <xdr:rowOff>38369</xdr:rowOff>
    </xdr:to>
    <xdr:pic>
      <xdr:nvPicPr>
        <xdr:cNvPr id="32" name="Picture 31">
          <a:extLst>
            <a:ext uri="{FF2B5EF4-FFF2-40B4-BE49-F238E27FC236}">
              <a16:creationId xmlns:a16="http://schemas.microsoft.com/office/drawing/2014/main" id="{7DF4A7A0-760E-FD46-B86B-5E7FDF9EF972}"/>
            </a:ext>
          </a:extLst>
        </xdr:cNvPr>
        <xdr:cNvPicPr>
          <a:picLocks noChangeAspect="1"/>
        </xdr:cNvPicPr>
      </xdr:nvPicPr>
      <xdr:blipFill>
        <a:blip xmlns:r="http://schemas.openxmlformats.org/officeDocument/2006/relationships" r:embed="rId7"/>
        <a:stretch>
          <a:fillRect/>
        </a:stretch>
      </xdr:blipFill>
      <xdr:spPr>
        <a:xfrm>
          <a:off x="13523102538" y="39025950"/>
          <a:ext cx="1747601" cy="1754019"/>
        </a:xfrm>
        <a:prstGeom prst="rect">
          <a:avLst/>
        </a:prstGeom>
      </xdr:spPr>
    </xdr:pic>
    <xdr:clientData/>
  </xdr:twoCellAnchor>
  <xdr:twoCellAnchor>
    <xdr:from>
      <xdr:col>1</xdr:col>
      <xdr:colOff>698500</xdr:colOff>
      <xdr:row>411</xdr:row>
      <xdr:rowOff>177800</xdr:rowOff>
    </xdr:from>
    <xdr:to>
      <xdr:col>2</xdr:col>
      <xdr:colOff>19050</xdr:colOff>
      <xdr:row>414</xdr:row>
      <xdr:rowOff>53975</xdr:rowOff>
    </xdr:to>
    <xdr:sp macro="" textlink="">
      <xdr:nvSpPr>
        <xdr:cNvPr id="33" name="Right Brace 32">
          <a:extLst>
            <a:ext uri="{FF2B5EF4-FFF2-40B4-BE49-F238E27FC236}">
              <a16:creationId xmlns:a16="http://schemas.microsoft.com/office/drawing/2014/main" id="{1E75813D-BF88-BC4C-8CCC-BF166D703990}"/>
            </a:ext>
          </a:extLst>
        </xdr:cNvPr>
        <xdr:cNvSpPr/>
      </xdr:nvSpPr>
      <xdr:spPr>
        <a:xfrm>
          <a:off x="13523321950" y="61290200"/>
          <a:ext cx="146050" cy="485775"/>
        </a:xfrm>
        <a:prstGeom prst="righ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733425</xdr:colOff>
      <xdr:row>414</xdr:row>
      <xdr:rowOff>57151</xdr:rowOff>
    </xdr:from>
    <xdr:to>
      <xdr:col>2</xdr:col>
      <xdr:colOff>0</xdr:colOff>
      <xdr:row>415</xdr:row>
      <xdr:rowOff>19051</xdr:rowOff>
    </xdr:to>
    <xdr:sp macro="" textlink="">
      <xdr:nvSpPr>
        <xdr:cNvPr id="34" name="Right Brace 33">
          <a:extLst>
            <a:ext uri="{FF2B5EF4-FFF2-40B4-BE49-F238E27FC236}">
              <a16:creationId xmlns:a16="http://schemas.microsoft.com/office/drawing/2014/main" id="{BAAF40FB-086C-624D-8055-C69BE3EC324F}"/>
            </a:ext>
          </a:extLst>
        </xdr:cNvPr>
        <xdr:cNvSpPr/>
      </xdr:nvSpPr>
      <xdr:spPr>
        <a:xfrm>
          <a:off x="13523341000" y="61779151"/>
          <a:ext cx="92075" cy="165100"/>
        </a:xfrm>
        <a:prstGeom prst="righ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412750</xdr:colOff>
      <xdr:row>411</xdr:row>
      <xdr:rowOff>174625</xdr:rowOff>
    </xdr:from>
    <xdr:to>
      <xdr:col>5</xdr:col>
      <xdr:colOff>558800</xdr:colOff>
      <xdr:row>414</xdr:row>
      <xdr:rowOff>50800</xdr:rowOff>
    </xdr:to>
    <xdr:sp macro="" textlink="">
      <xdr:nvSpPr>
        <xdr:cNvPr id="35" name="Right Brace 34">
          <a:extLst>
            <a:ext uri="{FF2B5EF4-FFF2-40B4-BE49-F238E27FC236}">
              <a16:creationId xmlns:a16="http://schemas.microsoft.com/office/drawing/2014/main" id="{41ED0712-6F92-D84B-AD67-02B36EE569CF}"/>
            </a:ext>
          </a:extLst>
        </xdr:cNvPr>
        <xdr:cNvSpPr/>
      </xdr:nvSpPr>
      <xdr:spPr>
        <a:xfrm rot="10800000">
          <a:off x="13520305700" y="61287025"/>
          <a:ext cx="146050" cy="485775"/>
        </a:xfrm>
        <a:prstGeom prst="rightBrace">
          <a:avLst>
            <a:gd name="adj1" fmla="val 8333"/>
            <a:gd name="adj2" fmla="val 38235"/>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434975</xdr:colOff>
      <xdr:row>414</xdr:row>
      <xdr:rowOff>63501</xdr:rowOff>
    </xdr:from>
    <xdr:to>
      <xdr:col>5</xdr:col>
      <xdr:colOff>527050</xdr:colOff>
      <xdr:row>415</xdr:row>
      <xdr:rowOff>25401</xdr:rowOff>
    </xdr:to>
    <xdr:sp macro="" textlink="">
      <xdr:nvSpPr>
        <xdr:cNvPr id="36" name="Right Brace 35">
          <a:extLst>
            <a:ext uri="{FF2B5EF4-FFF2-40B4-BE49-F238E27FC236}">
              <a16:creationId xmlns:a16="http://schemas.microsoft.com/office/drawing/2014/main" id="{3D01EC6B-DF59-DE42-BC62-E658ED255EB8}"/>
            </a:ext>
          </a:extLst>
        </xdr:cNvPr>
        <xdr:cNvSpPr/>
      </xdr:nvSpPr>
      <xdr:spPr>
        <a:xfrm rot="10800000">
          <a:off x="13520337450" y="61785501"/>
          <a:ext cx="92075" cy="165100"/>
        </a:xfrm>
        <a:prstGeom prst="righ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7</xdr:col>
      <xdr:colOff>76200</xdr:colOff>
      <xdr:row>402</xdr:row>
      <xdr:rowOff>133350</xdr:rowOff>
    </xdr:from>
    <xdr:to>
      <xdr:col>7</xdr:col>
      <xdr:colOff>527050</xdr:colOff>
      <xdr:row>402</xdr:row>
      <xdr:rowOff>139700</xdr:rowOff>
    </xdr:to>
    <xdr:cxnSp macro="">
      <xdr:nvCxnSpPr>
        <xdr:cNvPr id="37" name="Straight Connector 36">
          <a:extLst>
            <a:ext uri="{FF2B5EF4-FFF2-40B4-BE49-F238E27FC236}">
              <a16:creationId xmlns:a16="http://schemas.microsoft.com/office/drawing/2014/main" id="{95F1D86C-BB9B-584F-B268-8F4701F624BD}"/>
            </a:ext>
          </a:extLst>
        </xdr:cNvPr>
        <xdr:cNvCxnSpPr/>
      </xdr:nvCxnSpPr>
      <xdr:spPr>
        <a:xfrm flipH="1">
          <a:off x="13518686450" y="59391550"/>
          <a:ext cx="450850" cy="63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520700</xdr:colOff>
      <xdr:row>402</xdr:row>
      <xdr:rowOff>139700</xdr:rowOff>
    </xdr:from>
    <xdr:to>
      <xdr:col>7</xdr:col>
      <xdr:colOff>542925</xdr:colOff>
      <xdr:row>413</xdr:row>
      <xdr:rowOff>130175</xdr:rowOff>
    </xdr:to>
    <xdr:cxnSp macro="">
      <xdr:nvCxnSpPr>
        <xdr:cNvPr id="38" name="Straight Connector 37">
          <a:extLst>
            <a:ext uri="{FF2B5EF4-FFF2-40B4-BE49-F238E27FC236}">
              <a16:creationId xmlns:a16="http://schemas.microsoft.com/office/drawing/2014/main" id="{1BA7A09A-63EC-C440-8743-FC546B7413CC}"/>
            </a:ext>
          </a:extLst>
        </xdr:cNvPr>
        <xdr:cNvCxnSpPr/>
      </xdr:nvCxnSpPr>
      <xdr:spPr>
        <a:xfrm flipV="1">
          <a:off x="13518670575" y="59397900"/>
          <a:ext cx="22225" cy="225107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619125</xdr:colOff>
      <xdr:row>413</xdr:row>
      <xdr:rowOff>79375</xdr:rowOff>
    </xdr:from>
    <xdr:to>
      <xdr:col>7</xdr:col>
      <xdr:colOff>539750</xdr:colOff>
      <xdr:row>413</xdr:row>
      <xdr:rowOff>114300</xdr:rowOff>
    </xdr:to>
    <xdr:cxnSp macro="">
      <xdr:nvCxnSpPr>
        <xdr:cNvPr id="39" name="Straight Connector 38">
          <a:extLst>
            <a:ext uri="{FF2B5EF4-FFF2-40B4-BE49-F238E27FC236}">
              <a16:creationId xmlns:a16="http://schemas.microsoft.com/office/drawing/2014/main" id="{00CE4935-08D0-3A4A-A889-9559B5056926}"/>
            </a:ext>
          </a:extLst>
        </xdr:cNvPr>
        <xdr:cNvCxnSpPr/>
      </xdr:nvCxnSpPr>
      <xdr:spPr>
        <a:xfrm flipH="1">
          <a:off x="13518673750" y="61598175"/>
          <a:ext cx="1571625" cy="349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415925</xdr:colOff>
      <xdr:row>416</xdr:row>
      <xdr:rowOff>120650</xdr:rowOff>
    </xdr:from>
    <xdr:to>
      <xdr:col>6</xdr:col>
      <xdr:colOff>346075</xdr:colOff>
      <xdr:row>416</xdr:row>
      <xdr:rowOff>133350</xdr:rowOff>
    </xdr:to>
    <xdr:cxnSp macro="">
      <xdr:nvCxnSpPr>
        <xdr:cNvPr id="40" name="Straight Connector 39">
          <a:extLst>
            <a:ext uri="{FF2B5EF4-FFF2-40B4-BE49-F238E27FC236}">
              <a16:creationId xmlns:a16="http://schemas.microsoft.com/office/drawing/2014/main" id="{C131BF0E-52EE-D742-8F4D-51B4878569A7}"/>
            </a:ext>
          </a:extLst>
        </xdr:cNvPr>
        <xdr:cNvCxnSpPr/>
      </xdr:nvCxnSpPr>
      <xdr:spPr>
        <a:xfrm flipH="1">
          <a:off x="13519692925" y="62249050"/>
          <a:ext cx="2406650" cy="127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327025</xdr:colOff>
      <xdr:row>414</xdr:row>
      <xdr:rowOff>136525</xdr:rowOff>
    </xdr:from>
    <xdr:to>
      <xdr:col>6</xdr:col>
      <xdr:colOff>336550</xdr:colOff>
      <xdr:row>416</xdr:row>
      <xdr:rowOff>136525</xdr:rowOff>
    </xdr:to>
    <xdr:cxnSp macro="">
      <xdr:nvCxnSpPr>
        <xdr:cNvPr id="41" name="Straight Connector 40">
          <a:extLst>
            <a:ext uri="{FF2B5EF4-FFF2-40B4-BE49-F238E27FC236}">
              <a16:creationId xmlns:a16="http://schemas.microsoft.com/office/drawing/2014/main" id="{299E4B23-E69F-3B4C-BDCD-08085CFCB16C}"/>
            </a:ext>
          </a:extLst>
        </xdr:cNvPr>
        <xdr:cNvCxnSpPr/>
      </xdr:nvCxnSpPr>
      <xdr:spPr>
        <a:xfrm flipV="1">
          <a:off x="13519702450" y="61858525"/>
          <a:ext cx="9525" cy="4064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631825</xdr:colOff>
      <xdr:row>414</xdr:row>
      <xdr:rowOff>127000</xdr:rowOff>
    </xdr:from>
    <xdr:to>
      <xdr:col>6</xdr:col>
      <xdr:colOff>330200</xdr:colOff>
      <xdr:row>414</xdr:row>
      <xdr:rowOff>139700</xdr:rowOff>
    </xdr:to>
    <xdr:cxnSp macro="">
      <xdr:nvCxnSpPr>
        <xdr:cNvPr id="42" name="Straight Connector 41">
          <a:extLst>
            <a:ext uri="{FF2B5EF4-FFF2-40B4-BE49-F238E27FC236}">
              <a16:creationId xmlns:a16="http://schemas.microsoft.com/office/drawing/2014/main" id="{C06BE185-0BF8-2644-BA77-D97B6D2B531A}"/>
            </a:ext>
          </a:extLst>
        </xdr:cNvPr>
        <xdr:cNvCxnSpPr/>
      </xdr:nvCxnSpPr>
      <xdr:spPr>
        <a:xfrm flipH="1">
          <a:off x="13519708800" y="61849000"/>
          <a:ext cx="523875" cy="127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1</xdr:colOff>
      <xdr:row>2</xdr:row>
      <xdr:rowOff>202045</xdr:rowOff>
    </xdr:from>
    <xdr:to>
      <xdr:col>5</xdr:col>
      <xdr:colOff>288636</xdr:colOff>
      <xdr:row>13</xdr:row>
      <xdr:rowOff>64674</xdr:rowOff>
    </xdr:to>
    <xdr:pic>
      <xdr:nvPicPr>
        <xdr:cNvPr id="2" name="Picture 1">
          <a:extLst>
            <a:ext uri="{FF2B5EF4-FFF2-40B4-BE49-F238E27FC236}">
              <a16:creationId xmlns:a16="http://schemas.microsoft.com/office/drawing/2014/main" id="{07F366D6-E5B5-223A-0044-84F9DC44114B}"/>
            </a:ext>
          </a:extLst>
        </xdr:cNvPr>
        <xdr:cNvPicPr>
          <a:picLocks noChangeAspect="1"/>
        </xdr:cNvPicPr>
      </xdr:nvPicPr>
      <xdr:blipFill>
        <a:blip xmlns:r="http://schemas.openxmlformats.org/officeDocument/2006/relationships" r:embed="rId1"/>
        <a:stretch>
          <a:fillRect/>
        </a:stretch>
      </xdr:blipFill>
      <xdr:spPr>
        <a:xfrm>
          <a:off x="13507068506" y="606136"/>
          <a:ext cx="4412012" cy="2085129"/>
        </a:xfrm>
        <a:prstGeom prst="rect">
          <a:avLst/>
        </a:prstGeom>
      </xdr:spPr>
    </xdr:pic>
    <xdr:clientData/>
  </xdr:twoCellAnchor>
  <xdr:twoCellAnchor>
    <xdr:from>
      <xdr:col>5</xdr:col>
      <xdr:colOff>160421</xdr:colOff>
      <xdr:row>3</xdr:row>
      <xdr:rowOff>167105</xdr:rowOff>
    </xdr:from>
    <xdr:to>
      <xdr:col>9</xdr:col>
      <xdr:colOff>556795</xdr:colOff>
      <xdr:row>11</xdr:row>
      <xdr:rowOff>125631</xdr:rowOff>
    </xdr:to>
    <xdr:grpSp>
      <xdr:nvGrpSpPr>
        <xdr:cNvPr id="7" name="Group 6">
          <a:extLst>
            <a:ext uri="{FF2B5EF4-FFF2-40B4-BE49-F238E27FC236}">
              <a16:creationId xmlns:a16="http://schemas.microsoft.com/office/drawing/2014/main" id="{6451FA17-1DDC-F732-4663-21D85AA37EDD}"/>
            </a:ext>
          </a:extLst>
        </xdr:cNvPr>
        <xdr:cNvGrpSpPr/>
      </xdr:nvGrpSpPr>
      <xdr:grpSpPr>
        <a:xfrm>
          <a:off x="13527100972" y="777445"/>
          <a:ext cx="3700840" cy="1586099"/>
          <a:chOff x="13517837889" y="739072"/>
          <a:chExt cx="4934953" cy="2180560"/>
        </a:xfrm>
      </xdr:grpSpPr>
      <xdr:pic>
        <xdr:nvPicPr>
          <xdr:cNvPr id="3" name="Picture 2">
            <a:extLst>
              <a:ext uri="{FF2B5EF4-FFF2-40B4-BE49-F238E27FC236}">
                <a16:creationId xmlns:a16="http://schemas.microsoft.com/office/drawing/2014/main" id="{E86032C0-51DA-D601-1ED1-FE94987F3356}"/>
              </a:ext>
            </a:extLst>
          </xdr:cNvPr>
          <xdr:cNvPicPr>
            <a:picLocks noChangeAspect="1"/>
          </xdr:cNvPicPr>
        </xdr:nvPicPr>
        <xdr:blipFill>
          <a:blip xmlns:r="http://schemas.openxmlformats.org/officeDocument/2006/relationships" r:embed="rId2"/>
          <a:stretch>
            <a:fillRect/>
          </a:stretch>
        </xdr:blipFill>
        <xdr:spPr>
          <a:xfrm>
            <a:off x="13517837889" y="739072"/>
            <a:ext cx="4934953" cy="2180560"/>
          </a:xfrm>
          <a:prstGeom prst="rect">
            <a:avLst/>
          </a:prstGeom>
        </xdr:spPr>
      </xdr:pic>
      <xdr:sp macro="" textlink="">
        <xdr:nvSpPr>
          <xdr:cNvPr id="4" name="Round Same Side Corner Rectangle 3">
            <a:extLst>
              <a:ext uri="{FF2B5EF4-FFF2-40B4-BE49-F238E27FC236}">
                <a16:creationId xmlns:a16="http://schemas.microsoft.com/office/drawing/2014/main" id="{F78E36DF-1031-47A5-1C34-8324EF194100}"/>
              </a:ext>
            </a:extLst>
          </xdr:cNvPr>
          <xdr:cNvSpPr/>
        </xdr:nvSpPr>
        <xdr:spPr>
          <a:xfrm>
            <a:off x="13517933474" y="1961816"/>
            <a:ext cx="3696368" cy="681789"/>
          </a:xfrm>
          <a:prstGeom prst="round2Same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5" name="Round Same Side Corner Rectangle 4">
            <a:extLst>
              <a:ext uri="{FF2B5EF4-FFF2-40B4-BE49-F238E27FC236}">
                <a16:creationId xmlns:a16="http://schemas.microsoft.com/office/drawing/2014/main" id="{0BA0579E-259E-6849-BDC4-FE7BE2F37C22}"/>
              </a:ext>
            </a:extLst>
          </xdr:cNvPr>
          <xdr:cNvSpPr/>
        </xdr:nvSpPr>
        <xdr:spPr>
          <a:xfrm>
            <a:off x="13520630552" y="2620210"/>
            <a:ext cx="1554079" cy="233948"/>
          </a:xfrm>
          <a:prstGeom prst="round2SameRect">
            <a:avLst>
              <a:gd name="adj1" fmla="val 16667"/>
              <a:gd name="adj2" fmla="val 3627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sp macro="" textlink="">
        <xdr:nvSpPr>
          <xdr:cNvPr id="6" name="Round Same Side Corner Rectangle 5">
            <a:extLst>
              <a:ext uri="{FF2B5EF4-FFF2-40B4-BE49-F238E27FC236}">
                <a16:creationId xmlns:a16="http://schemas.microsoft.com/office/drawing/2014/main" id="{050653DC-D31A-1D70-7DE7-538D88EB90EA}"/>
              </a:ext>
            </a:extLst>
          </xdr:cNvPr>
          <xdr:cNvSpPr/>
        </xdr:nvSpPr>
        <xdr:spPr>
          <a:xfrm>
            <a:off x="13521573027" y="2108868"/>
            <a:ext cx="624974" cy="608264"/>
          </a:xfrm>
          <a:prstGeom prst="round2SameRect">
            <a:avLst>
              <a:gd name="adj1" fmla="val 16667"/>
              <a:gd name="adj2" fmla="val 36275"/>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grpSp>
    <xdr:clientData/>
  </xdr:twoCellAnchor>
  <xdr:twoCellAnchor editAs="oneCell">
    <xdr:from>
      <xdr:col>0</xdr:col>
      <xdr:colOff>0</xdr:colOff>
      <xdr:row>44</xdr:row>
      <xdr:rowOff>1</xdr:rowOff>
    </xdr:from>
    <xdr:to>
      <xdr:col>6</xdr:col>
      <xdr:colOff>639045</xdr:colOff>
      <xdr:row>52</xdr:row>
      <xdr:rowOff>39670</xdr:rowOff>
    </xdr:to>
    <xdr:pic>
      <xdr:nvPicPr>
        <xdr:cNvPr id="8" name="Picture 7">
          <a:extLst>
            <a:ext uri="{FF2B5EF4-FFF2-40B4-BE49-F238E27FC236}">
              <a16:creationId xmlns:a16="http://schemas.microsoft.com/office/drawing/2014/main" id="{D3A8E497-2471-216E-CEB6-3CB52759D4E3}"/>
            </a:ext>
          </a:extLst>
        </xdr:cNvPr>
        <xdr:cNvPicPr>
          <a:picLocks noChangeAspect="1"/>
        </xdr:cNvPicPr>
      </xdr:nvPicPr>
      <xdr:blipFill>
        <a:blip xmlns:r="http://schemas.openxmlformats.org/officeDocument/2006/relationships" r:embed="rId3"/>
        <a:stretch>
          <a:fillRect/>
        </a:stretch>
      </xdr:blipFill>
      <xdr:spPr>
        <a:xfrm>
          <a:off x="13512775732" y="8898090"/>
          <a:ext cx="5589618" cy="1657504"/>
        </a:xfrm>
        <a:prstGeom prst="rect">
          <a:avLst/>
        </a:prstGeom>
      </xdr:spPr>
    </xdr:pic>
    <xdr:clientData/>
  </xdr:twoCellAnchor>
  <xdr:twoCellAnchor>
    <xdr:from>
      <xdr:col>5</xdr:col>
      <xdr:colOff>44786</xdr:colOff>
      <xdr:row>185</xdr:row>
      <xdr:rowOff>57582</xdr:rowOff>
    </xdr:from>
    <xdr:to>
      <xdr:col>6</xdr:col>
      <xdr:colOff>796549</xdr:colOff>
      <xdr:row>190</xdr:row>
      <xdr:rowOff>121562</xdr:rowOff>
    </xdr:to>
    <xdr:cxnSp macro="">
      <xdr:nvCxnSpPr>
        <xdr:cNvPr id="10" name="Straight Arrow Connector 9">
          <a:extLst>
            <a:ext uri="{FF2B5EF4-FFF2-40B4-BE49-F238E27FC236}">
              <a16:creationId xmlns:a16="http://schemas.microsoft.com/office/drawing/2014/main" id="{8E5ED546-FB6F-65F9-8D01-D402EA61D254}"/>
            </a:ext>
          </a:extLst>
        </xdr:cNvPr>
        <xdr:cNvCxnSpPr/>
      </xdr:nvCxnSpPr>
      <xdr:spPr>
        <a:xfrm>
          <a:off x="13516622796" y="38020025"/>
          <a:ext cx="1577103" cy="108765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559823</xdr:colOff>
      <xdr:row>186</xdr:row>
      <xdr:rowOff>131159</xdr:rowOff>
    </xdr:from>
    <xdr:to>
      <xdr:col>5</xdr:col>
      <xdr:colOff>47985</xdr:colOff>
      <xdr:row>190</xdr:row>
      <xdr:rowOff>89572</xdr:rowOff>
    </xdr:to>
    <xdr:cxnSp macro="">
      <xdr:nvCxnSpPr>
        <xdr:cNvPr id="11" name="Straight Arrow Connector 10">
          <a:extLst>
            <a:ext uri="{FF2B5EF4-FFF2-40B4-BE49-F238E27FC236}">
              <a16:creationId xmlns:a16="http://schemas.microsoft.com/office/drawing/2014/main" id="{79F53DBF-6D12-772C-3C09-5D2CE6DA414B}"/>
            </a:ext>
          </a:extLst>
        </xdr:cNvPr>
        <xdr:cNvCxnSpPr/>
      </xdr:nvCxnSpPr>
      <xdr:spPr>
        <a:xfrm flipH="1">
          <a:off x="13518196700" y="38298338"/>
          <a:ext cx="1138842" cy="77735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108644</xdr:colOff>
      <xdr:row>212</xdr:row>
      <xdr:rowOff>43833</xdr:rowOff>
    </xdr:from>
    <xdr:to>
      <xdr:col>2</xdr:col>
      <xdr:colOff>618142</xdr:colOff>
      <xdr:row>220</xdr:row>
      <xdr:rowOff>255</xdr:rowOff>
    </xdr:to>
    <xdr:pic>
      <xdr:nvPicPr>
        <xdr:cNvPr id="14" name="Picture 13">
          <a:extLst>
            <a:ext uri="{FF2B5EF4-FFF2-40B4-BE49-F238E27FC236}">
              <a16:creationId xmlns:a16="http://schemas.microsoft.com/office/drawing/2014/main" id="{808F068C-CCFC-0B27-3F89-E1F6B431E70A}"/>
            </a:ext>
          </a:extLst>
        </xdr:cNvPr>
        <xdr:cNvPicPr>
          <a:picLocks noChangeAspect="1"/>
        </xdr:cNvPicPr>
      </xdr:nvPicPr>
      <xdr:blipFill>
        <a:blip xmlns:r="http://schemas.openxmlformats.org/officeDocument/2006/relationships" r:embed="rId4"/>
        <a:stretch>
          <a:fillRect/>
        </a:stretch>
      </xdr:blipFill>
      <xdr:spPr>
        <a:xfrm>
          <a:off x="13501242625" y="43321237"/>
          <a:ext cx="2157876" cy="1574829"/>
        </a:xfrm>
        <a:prstGeom prst="rect">
          <a:avLst/>
        </a:prstGeom>
      </xdr:spPr>
    </xdr:pic>
    <xdr:clientData/>
  </xdr:twoCellAnchor>
  <xdr:twoCellAnchor>
    <xdr:from>
      <xdr:col>1</xdr:col>
      <xdr:colOff>168584</xdr:colOff>
      <xdr:row>222</xdr:row>
      <xdr:rowOff>161091</xdr:rowOff>
    </xdr:from>
    <xdr:to>
      <xdr:col>1</xdr:col>
      <xdr:colOff>711800</xdr:colOff>
      <xdr:row>226</xdr:row>
      <xdr:rowOff>161091</xdr:rowOff>
    </xdr:to>
    <xdr:sp macro="" textlink="">
      <xdr:nvSpPr>
        <xdr:cNvPr id="15" name="Down Arrow 14">
          <a:extLst>
            <a:ext uri="{FF2B5EF4-FFF2-40B4-BE49-F238E27FC236}">
              <a16:creationId xmlns:a16="http://schemas.microsoft.com/office/drawing/2014/main" id="{19320470-D739-709A-2AC2-1EB54713E11F}"/>
            </a:ext>
          </a:extLst>
        </xdr:cNvPr>
        <xdr:cNvSpPr/>
      </xdr:nvSpPr>
      <xdr:spPr>
        <a:xfrm>
          <a:off x="13501973156" y="45461504"/>
          <a:ext cx="543216" cy="809204"/>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314691</xdr:colOff>
      <xdr:row>217</xdr:row>
      <xdr:rowOff>33716</xdr:rowOff>
    </xdr:from>
    <xdr:to>
      <xdr:col>1</xdr:col>
      <xdr:colOff>678083</xdr:colOff>
      <xdr:row>218</xdr:row>
      <xdr:rowOff>37464</xdr:rowOff>
    </xdr:to>
    <xdr:sp macro="" textlink="">
      <xdr:nvSpPr>
        <xdr:cNvPr id="16" name="Rounded Rectangle 15">
          <a:extLst>
            <a:ext uri="{FF2B5EF4-FFF2-40B4-BE49-F238E27FC236}">
              <a16:creationId xmlns:a16="http://schemas.microsoft.com/office/drawing/2014/main" id="{A7F8AE37-B5CA-18B0-F7EF-BDB534CE8171}"/>
            </a:ext>
          </a:extLst>
        </xdr:cNvPr>
        <xdr:cNvSpPr/>
      </xdr:nvSpPr>
      <xdr:spPr>
        <a:xfrm>
          <a:off x="13502006873" y="44322625"/>
          <a:ext cx="363392" cy="20604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500"/>
            <a:t>פילוס</a:t>
          </a:r>
          <a:endParaRPr lang="en-US" sz="500"/>
        </a:p>
      </xdr:txBody>
    </xdr:sp>
    <xdr:clientData/>
  </xdr:twoCellAnchor>
  <xdr:twoCellAnchor>
    <xdr:from>
      <xdr:col>0</xdr:col>
      <xdr:colOff>513245</xdr:colOff>
      <xdr:row>216</xdr:row>
      <xdr:rowOff>179823</xdr:rowOff>
    </xdr:from>
    <xdr:to>
      <xdr:col>1</xdr:col>
      <xdr:colOff>112390</xdr:colOff>
      <xdr:row>217</xdr:row>
      <xdr:rowOff>183570</xdr:rowOff>
    </xdr:to>
    <xdr:sp macro="" textlink="">
      <xdr:nvSpPr>
        <xdr:cNvPr id="18" name="Rounded Rectangle 17">
          <a:extLst>
            <a:ext uri="{FF2B5EF4-FFF2-40B4-BE49-F238E27FC236}">
              <a16:creationId xmlns:a16="http://schemas.microsoft.com/office/drawing/2014/main" id="{ABC82309-449D-3856-67E0-D6DBAA7B1FCF}"/>
            </a:ext>
          </a:extLst>
        </xdr:cNvPr>
        <xdr:cNvSpPr/>
      </xdr:nvSpPr>
      <xdr:spPr>
        <a:xfrm>
          <a:off x="13502572566" y="44266431"/>
          <a:ext cx="423334" cy="20604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500"/>
            <a:t>סתונית</a:t>
          </a:r>
          <a:endParaRPr lang="en-US" sz="500"/>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75227</xdr:colOff>
      <xdr:row>25</xdr:row>
      <xdr:rowOff>79394</xdr:rowOff>
    </xdr:from>
    <xdr:to>
      <xdr:col>4</xdr:col>
      <xdr:colOff>504461</xdr:colOff>
      <xdr:row>29</xdr:row>
      <xdr:rowOff>138051</xdr:rowOff>
    </xdr:to>
    <xdr:pic>
      <xdr:nvPicPr>
        <xdr:cNvPr id="2" name="Picture 1">
          <a:extLst>
            <a:ext uri="{FF2B5EF4-FFF2-40B4-BE49-F238E27FC236}">
              <a16:creationId xmlns:a16="http://schemas.microsoft.com/office/drawing/2014/main" id="{3F72BB2F-7270-6FC6-D314-68B0C3B8C788}"/>
            </a:ext>
          </a:extLst>
        </xdr:cNvPr>
        <xdr:cNvPicPr>
          <a:picLocks noChangeAspect="1"/>
        </xdr:cNvPicPr>
      </xdr:nvPicPr>
      <xdr:blipFill>
        <a:blip xmlns:r="http://schemas.openxmlformats.org/officeDocument/2006/relationships" r:embed="rId1"/>
        <a:stretch>
          <a:fillRect/>
        </a:stretch>
      </xdr:blipFill>
      <xdr:spPr>
        <a:xfrm>
          <a:off x="13553802856" y="5168244"/>
          <a:ext cx="3739199" cy="872873"/>
        </a:xfrm>
        <a:prstGeom prst="rect">
          <a:avLst/>
        </a:prstGeom>
      </xdr:spPr>
    </xdr:pic>
    <xdr:clientData/>
  </xdr:twoCellAnchor>
  <xdr:twoCellAnchor editAs="oneCell">
    <xdr:from>
      <xdr:col>0</xdr:col>
      <xdr:colOff>4426</xdr:colOff>
      <xdr:row>29</xdr:row>
      <xdr:rowOff>110627</xdr:rowOff>
    </xdr:from>
    <xdr:to>
      <xdr:col>4</xdr:col>
      <xdr:colOff>615088</xdr:colOff>
      <xdr:row>31</xdr:row>
      <xdr:rowOff>57756</xdr:rowOff>
    </xdr:to>
    <xdr:pic>
      <xdr:nvPicPr>
        <xdr:cNvPr id="3" name="Picture 2">
          <a:extLst>
            <a:ext uri="{FF2B5EF4-FFF2-40B4-BE49-F238E27FC236}">
              <a16:creationId xmlns:a16="http://schemas.microsoft.com/office/drawing/2014/main" id="{FC9674EB-FDAA-7FBB-24CE-760C18203C39}"/>
            </a:ext>
          </a:extLst>
        </xdr:cNvPr>
        <xdr:cNvPicPr>
          <a:picLocks noChangeAspect="1"/>
        </xdr:cNvPicPr>
      </xdr:nvPicPr>
      <xdr:blipFill>
        <a:blip xmlns:r="http://schemas.openxmlformats.org/officeDocument/2006/relationships" r:embed="rId2"/>
        <a:stretch>
          <a:fillRect/>
        </a:stretch>
      </xdr:blipFill>
      <xdr:spPr>
        <a:xfrm>
          <a:off x="13553692229" y="6013693"/>
          <a:ext cx="3920627" cy="354237"/>
        </a:xfrm>
        <a:prstGeom prst="rect">
          <a:avLst/>
        </a:prstGeom>
      </xdr:spPr>
    </xdr:pic>
    <xdr:clientData/>
  </xdr:twoCellAnchor>
  <xdr:twoCellAnchor editAs="oneCell">
    <xdr:from>
      <xdr:col>0</xdr:col>
      <xdr:colOff>1</xdr:colOff>
      <xdr:row>31</xdr:row>
      <xdr:rowOff>61951</xdr:rowOff>
    </xdr:from>
    <xdr:to>
      <xdr:col>4</xdr:col>
      <xdr:colOff>623937</xdr:colOff>
      <xdr:row>34</xdr:row>
      <xdr:rowOff>28344</xdr:rowOff>
    </xdr:to>
    <xdr:pic>
      <xdr:nvPicPr>
        <xdr:cNvPr id="4" name="Picture 3">
          <a:extLst>
            <a:ext uri="{FF2B5EF4-FFF2-40B4-BE49-F238E27FC236}">
              <a16:creationId xmlns:a16="http://schemas.microsoft.com/office/drawing/2014/main" id="{4FB9EB2B-C711-CBF7-7D38-1D12A163C43F}"/>
            </a:ext>
          </a:extLst>
        </xdr:cNvPr>
        <xdr:cNvPicPr>
          <a:picLocks noChangeAspect="1"/>
        </xdr:cNvPicPr>
      </xdr:nvPicPr>
      <xdr:blipFill>
        <a:blip xmlns:r="http://schemas.openxmlformats.org/officeDocument/2006/relationships" r:embed="rId3"/>
        <a:stretch>
          <a:fillRect/>
        </a:stretch>
      </xdr:blipFill>
      <xdr:spPr>
        <a:xfrm>
          <a:off x="13553683380" y="6372125"/>
          <a:ext cx="3933901" cy="57705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5</xdr:col>
      <xdr:colOff>520541</xdr:colOff>
      <xdr:row>41</xdr:row>
      <xdr:rowOff>104775</xdr:rowOff>
    </xdr:from>
    <xdr:to>
      <xdr:col>7</xdr:col>
      <xdr:colOff>790576</xdr:colOff>
      <xdr:row>49</xdr:row>
      <xdr:rowOff>115747</xdr:rowOff>
    </xdr:to>
    <xdr:pic>
      <xdr:nvPicPr>
        <xdr:cNvPr id="2" name="Picture 1" descr="מכשיר נקניקיות Selmor SE-282***שני מתקנים לחימום לחמנייה*** | מוצרי חשמל |  selmor ועוד">
          <a:extLst>
            <a:ext uri="{FF2B5EF4-FFF2-40B4-BE49-F238E27FC236}">
              <a16:creationId xmlns:a16="http://schemas.microsoft.com/office/drawing/2014/main" id="{C1FDB0D9-0E88-8542-A78C-CF966BB2D6C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518422924" y="56264175"/>
          <a:ext cx="1921035" cy="1636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623748</xdr:colOff>
      <xdr:row>67</xdr:row>
      <xdr:rowOff>19290</xdr:rowOff>
    </xdr:from>
    <xdr:to>
      <xdr:col>2</xdr:col>
      <xdr:colOff>794153</xdr:colOff>
      <xdr:row>67</xdr:row>
      <xdr:rowOff>180050</xdr:rowOff>
    </xdr:to>
    <xdr:sp macro="" textlink="">
      <xdr:nvSpPr>
        <xdr:cNvPr id="3" name="Rectangle 2">
          <a:extLst>
            <a:ext uri="{FF2B5EF4-FFF2-40B4-BE49-F238E27FC236}">
              <a16:creationId xmlns:a16="http://schemas.microsoft.com/office/drawing/2014/main" id="{D9E3373B-0542-914E-9122-E19495365F53}"/>
            </a:ext>
          </a:extLst>
        </xdr:cNvPr>
        <xdr:cNvSpPr/>
      </xdr:nvSpPr>
      <xdr:spPr>
        <a:xfrm flipH="1">
          <a:off x="13522546847" y="13049490"/>
          <a:ext cx="170405" cy="16076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2</xdr:col>
      <xdr:colOff>588381</xdr:colOff>
      <xdr:row>72</xdr:row>
      <xdr:rowOff>19291</xdr:rowOff>
    </xdr:from>
    <xdr:to>
      <xdr:col>2</xdr:col>
      <xdr:colOff>758786</xdr:colOff>
      <xdr:row>72</xdr:row>
      <xdr:rowOff>180051</xdr:rowOff>
    </xdr:to>
    <xdr:sp macro="" textlink="">
      <xdr:nvSpPr>
        <xdr:cNvPr id="4" name="Rectangle 3">
          <a:extLst>
            <a:ext uri="{FF2B5EF4-FFF2-40B4-BE49-F238E27FC236}">
              <a16:creationId xmlns:a16="http://schemas.microsoft.com/office/drawing/2014/main" id="{98288545-03A9-F342-8329-447F58D25FA1}"/>
            </a:ext>
          </a:extLst>
        </xdr:cNvPr>
        <xdr:cNvSpPr/>
      </xdr:nvSpPr>
      <xdr:spPr>
        <a:xfrm flipH="1">
          <a:off x="13522582214" y="14065491"/>
          <a:ext cx="170405" cy="16076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2</xdr:col>
      <xdr:colOff>623749</xdr:colOff>
      <xdr:row>68</xdr:row>
      <xdr:rowOff>35366</xdr:rowOff>
    </xdr:from>
    <xdr:to>
      <xdr:col>2</xdr:col>
      <xdr:colOff>794154</xdr:colOff>
      <xdr:row>68</xdr:row>
      <xdr:rowOff>196126</xdr:rowOff>
    </xdr:to>
    <xdr:sp macro="" textlink="">
      <xdr:nvSpPr>
        <xdr:cNvPr id="5" name="Rectangle 4">
          <a:extLst>
            <a:ext uri="{FF2B5EF4-FFF2-40B4-BE49-F238E27FC236}">
              <a16:creationId xmlns:a16="http://schemas.microsoft.com/office/drawing/2014/main" id="{FD2136CB-7E91-0E47-BAE3-D48B5A45B2F3}"/>
            </a:ext>
          </a:extLst>
        </xdr:cNvPr>
        <xdr:cNvSpPr/>
      </xdr:nvSpPr>
      <xdr:spPr>
        <a:xfrm flipH="1">
          <a:off x="13522546846" y="13268766"/>
          <a:ext cx="170405" cy="16076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2</xdr:col>
      <xdr:colOff>633394</xdr:colOff>
      <xdr:row>70</xdr:row>
      <xdr:rowOff>22505</xdr:rowOff>
    </xdr:from>
    <xdr:to>
      <xdr:col>2</xdr:col>
      <xdr:colOff>803799</xdr:colOff>
      <xdr:row>70</xdr:row>
      <xdr:rowOff>183265</xdr:rowOff>
    </xdr:to>
    <xdr:sp macro="" textlink="">
      <xdr:nvSpPr>
        <xdr:cNvPr id="6" name="Rectangle 5">
          <a:extLst>
            <a:ext uri="{FF2B5EF4-FFF2-40B4-BE49-F238E27FC236}">
              <a16:creationId xmlns:a16="http://schemas.microsoft.com/office/drawing/2014/main" id="{77664550-FB8D-C04D-8E44-3EE7D5F4FB02}"/>
            </a:ext>
          </a:extLst>
        </xdr:cNvPr>
        <xdr:cNvSpPr/>
      </xdr:nvSpPr>
      <xdr:spPr>
        <a:xfrm flipH="1">
          <a:off x="13522537201" y="13662305"/>
          <a:ext cx="170405" cy="16076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4</a:t>
          </a:r>
          <a:endParaRPr lang="en-US" sz="1100"/>
        </a:p>
      </xdr:txBody>
    </xdr:sp>
    <xdr:clientData/>
  </xdr:twoCellAnchor>
  <xdr:twoCellAnchor>
    <xdr:from>
      <xdr:col>3</xdr:col>
      <xdr:colOff>19292</xdr:colOff>
      <xdr:row>67</xdr:row>
      <xdr:rowOff>70734</xdr:rowOff>
    </xdr:from>
    <xdr:to>
      <xdr:col>3</xdr:col>
      <xdr:colOff>65011</xdr:colOff>
      <xdr:row>67</xdr:row>
      <xdr:rowOff>141468</xdr:rowOff>
    </xdr:to>
    <xdr:sp macro="" textlink="">
      <xdr:nvSpPr>
        <xdr:cNvPr id="7" name="Left Arrow 6">
          <a:extLst>
            <a:ext uri="{FF2B5EF4-FFF2-40B4-BE49-F238E27FC236}">
              <a16:creationId xmlns:a16="http://schemas.microsoft.com/office/drawing/2014/main" id="{675195AA-8E08-274A-B6E4-31C19DCAC94B}"/>
            </a:ext>
          </a:extLst>
        </xdr:cNvPr>
        <xdr:cNvSpPr/>
      </xdr:nvSpPr>
      <xdr:spPr>
        <a:xfrm flipH="1">
          <a:off x="13522450489" y="13100934"/>
          <a:ext cx="45719" cy="70734"/>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a:p>
      </xdr:txBody>
    </xdr:sp>
    <xdr:clientData/>
  </xdr:twoCellAnchor>
  <xdr:twoCellAnchor>
    <xdr:from>
      <xdr:col>2</xdr:col>
      <xdr:colOff>794153</xdr:colOff>
      <xdr:row>72</xdr:row>
      <xdr:rowOff>64304</xdr:rowOff>
    </xdr:from>
    <xdr:to>
      <xdr:col>3</xdr:col>
      <xdr:colOff>13568</xdr:colOff>
      <xdr:row>72</xdr:row>
      <xdr:rowOff>135038</xdr:rowOff>
    </xdr:to>
    <xdr:sp macro="" textlink="">
      <xdr:nvSpPr>
        <xdr:cNvPr id="8" name="Left Arrow 7">
          <a:extLst>
            <a:ext uri="{FF2B5EF4-FFF2-40B4-BE49-F238E27FC236}">
              <a16:creationId xmlns:a16="http://schemas.microsoft.com/office/drawing/2014/main" id="{BA332D5E-9C30-2C40-8763-FFC360DB0EA8}"/>
            </a:ext>
          </a:extLst>
        </xdr:cNvPr>
        <xdr:cNvSpPr/>
      </xdr:nvSpPr>
      <xdr:spPr>
        <a:xfrm flipH="1">
          <a:off x="13522501932" y="14110504"/>
          <a:ext cx="44915" cy="70734"/>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a:p>
      </xdr:txBody>
    </xdr:sp>
    <xdr:clientData/>
  </xdr:twoCellAnchor>
  <xdr:twoCellAnchor>
    <xdr:from>
      <xdr:col>3</xdr:col>
      <xdr:colOff>12861</xdr:colOff>
      <xdr:row>68</xdr:row>
      <xdr:rowOff>77164</xdr:rowOff>
    </xdr:from>
    <xdr:to>
      <xdr:col>3</xdr:col>
      <xdr:colOff>58580</xdr:colOff>
      <xdr:row>68</xdr:row>
      <xdr:rowOff>147898</xdr:rowOff>
    </xdr:to>
    <xdr:sp macro="" textlink="">
      <xdr:nvSpPr>
        <xdr:cNvPr id="9" name="Left Arrow 8">
          <a:extLst>
            <a:ext uri="{FF2B5EF4-FFF2-40B4-BE49-F238E27FC236}">
              <a16:creationId xmlns:a16="http://schemas.microsoft.com/office/drawing/2014/main" id="{5836EBA3-FF0E-CD4E-9D9A-E2B915D015A6}"/>
            </a:ext>
          </a:extLst>
        </xdr:cNvPr>
        <xdr:cNvSpPr/>
      </xdr:nvSpPr>
      <xdr:spPr>
        <a:xfrm flipH="1">
          <a:off x="13522456920" y="13310564"/>
          <a:ext cx="45719" cy="70734"/>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a:p>
      </xdr:txBody>
    </xdr:sp>
    <xdr:clientData/>
  </xdr:twoCellAnchor>
  <xdr:twoCellAnchor>
    <xdr:from>
      <xdr:col>3</xdr:col>
      <xdr:colOff>755570</xdr:colOff>
      <xdr:row>72</xdr:row>
      <xdr:rowOff>73949</xdr:rowOff>
    </xdr:from>
    <xdr:to>
      <xdr:col>3</xdr:col>
      <xdr:colOff>801289</xdr:colOff>
      <xdr:row>72</xdr:row>
      <xdr:rowOff>144683</xdr:rowOff>
    </xdr:to>
    <xdr:sp macro="" textlink="">
      <xdr:nvSpPr>
        <xdr:cNvPr id="10" name="Left Arrow 9">
          <a:extLst>
            <a:ext uri="{FF2B5EF4-FFF2-40B4-BE49-F238E27FC236}">
              <a16:creationId xmlns:a16="http://schemas.microsoft.com/office/drawing/2014/main" id="{463BA98D-E9E3-954B-B195-9D8ABA4F7995}"/>
            </a:ext>
          </a:extLst>
        </xdr:cNvPr>
        <xdr:cNvSpPr/>
      </xdr:nvSpPr>
      <xdr:spPr>
        <a:xfrm flipH="1">
          <a:off x="13521714211" y="14120149"/>
          <a:ext cx="45719" cy="70734"/>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a:p>
      </xdr:txBody>
    </xdr:sp>
    <xdr:clientData/>
  </xdr:twoCellAnchor>
  <xdr:twoCellAnchor>
    <xdr:from>
      <xdr:col>4</xdr:col>
      <xdr:colOff>617318</xdr:colOff>
      <xdr:row>70</xdr:row>
      <xdr:rowOff>16075</xdr:rowOff>
    </xdr:from>
    <xdr:to>
      <xdr:col>4</xdr:col>
      <xdr:colOff>787723</xdr:colOff>
      <xdr:row>70</xdr:row>
      <xdr:rowOff>176835</xdr:rowOff>
    </xdr:to>
    <xdr:sp macro="" textlink="">
      <xdr:nvSpPr>
        <xdr:cNvPr id="11" name="Rectangle 10">
          <a:extLst>
            <a:ext uri="{FF2B5EF4-FFF2-40B4-BE49-F238E27FC236}">
              <a16:creationId xmlns:a16="http://schemas.microsoft.com/office/drawing/2014/main" id="{F9EB3E9F-72BE-CE4E-BD78-6BAA7DFED1C5}"/>
            </a:ext>
          </a:extLst>
        </xdr:cNvPr>
        <xdr:cNvSpPr/>
      </xdr:nvSpPr>
      <xdr:spPr>
        <a:xfrm flipH="1">
          <a:off x="13520902277" y="13655875"/>
          <a:ext cx="170405" cy="16076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5</a:t>
          </a:r>
          <a:endParaRPr lang="en-US" sz="1100"/>
        </a:p>
      </xdr:txBody>
    </xdr:sp>
    <xdr:clientData/>
  </xdr:twoCellAnchor>
  <xdr:twoCellAnchor>
    <xdr:from>
      <xdr:col>4</xdr:col>
      <xdr:colOff>617318</xdr:colOff>
      <xdr:row>77</xdr:row>
      <xdr:rowOff>25722</xdr:rowOff>
    </xdr:from>
    <xdr:to>
      <xdr:col>4</xdr:col>
      <xdr:colOff>787723</xdr:colOff>
      <xdr:row>77</xdr:row>
      <xdr:rowOff>186482</xdr:rowOff>
    </xdr:to>
    <xdr:sp macro="" textlink="">
      <xdr:nvSpPr>
        <xdr:cNvPr id="12" name="Rectangle 11">
          <a:extLst>
            <a:ext uri="{FF2B5EF4-FFF2-40B4-BE49-F238E27FC236}">
              <a16:creationId xmlns:a16="http://schemas.microsoft.com/office/drawing/2014/main" id="{ED879435-F7EF-0449-800A-BBB457C032F0}"/>
            </a:ext>
          </a:extLst>
        </xdr:cNvPr>
        <xdr:cNvSpPr/>
      </xdr:nvSpPr>
      <xdr:spPr>
        <a:xfrm flipH="1">
          <a:off x="13520902277" y="15087922"/>
          <a:ext cx="170405" cy="16076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6</a:t>
          </a:r>
          <a:endParaRPr lang="en-US" sz="1100"/>
        </a:p>
      </xdr:txBody>
    </xdr:sp>
    <xdr:clientData/>
  </xdr:twoCellAnchor>
  <xdr:twoCellAnchor>
    <xdr:from>
      <xdr:col>4</xdr:col>
      <xdr:colOff>623748</xdr:colOff>
      <xdr:row>80</xdr:row>
      <xdr:rowOff>28937</xdr:rowOff>
    </xdr:from>
    <xdr:to>
      <xdr:col>4</xdr:col>
      <xdr:colOff>794153</xdr:colOff>
      <xdr:row>80</xdr:row>
      <xdr:rowOff>189697</xdr:rowOff>
    </xdr:to>
    <xdr:sp macro="" textlink="">
      <xdr:nvSpPr>
        <xdr:cNvPr id="13" name="Rectangle 12">
          <a:extLst>
            <a:ext uri="{FF2B5EF4-FFF2-40B4-BE49-F238E27FC236}">
              <a16:creationId xmlns:a16="http://schemas.microsoft.com/office/drawing/2014/main" id="{F6409571-84DB-5845-8A93-24FB17792486}"/>
            </a:ext>
          </a:extLst>
        </xdr:cNvPr>
        <xdr:cNvSpPr/>
      </xdr:nvSpPr>
      <xdr:spPr>
        <a:xfrm flipH="1">
          <a:off x="13520895847" y="15700737"/>
          <a:ext cx="170405" cy="16076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7</a:t>
          </a:r>
          <a:endParaRPr lang="en-US" sz="1100"/>
        </a:p>
      </xdr:txBody>
    </xdr:sp>
    <xdr:clientData/>
  </xdr:twoCellAnchor>
  <xdr:twoCellAnchor>
    <xdr:from>
      <xdr:col>4</xdr:col>
      <xdr:colOff>633394</xdr:colOff>
      <xdr:row>68</xdr:row>
      <xdr:rowOff>22506</xdr:rowOff>
    </xdr:from>
    <xdr:to>
      <xdr:col>4</xdr:col>
      <xdr:colOff>803799</xdr:colOff>
      <xdr:row>68</xdr:row>
      <xdr:rowOff>183266</xdr:rowOff>
    </xdr:to>
    <xdr:sp macro="" textlink="">
      <xdr:nvSpPr>
        <xdr:cNvPr id="14" name="Rectangle 13">
          <a:extLst>
            <a:ext uri="{FF2B5EF4-FFF2-40B4-BE49-F238E27FC236}">
              <a16:creationId xmlns:a16="http://schemas.microsoft.com/office/drawing/2014/main" id="{ED91BF6B-C72D-ED44-8831-3EB4F4EF4970}"/>
            </a:ext>
          </a:extLst>
        </xdr:cNvPr>
        <xdr:cNvSpPr/>
      </xdr:nvSpPr>
      <xdr:spPr>
        <a:xfrm flipH="1">
          <a:off x="13520886201" y="13255906"/>
          <a:ext cx="170405" cy="16076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8</a:t>
          </a:r>
          <a:endParaRPr lang="en-US" sz="1100"/>
        </a:p>
      </xdr:txBody>
    </xdr:sp>
    <xdr:clientData/>
  </xdr:twoCellAnchor>
  <xdr:twoCellAnchor>
    <xdr:from>
      <xdr:col>4</xdr:col>
      <xdr:colOff>633394</xdr:colOff>
      <xdr:row>67</xdr:row>
      <xdr:rowOff>6430</xdr:rowOff>
    </xdr:from>
    <xdr:to>
      <xdr:col>4</xdr:col>
      <xdr:colOff>803799</xdr:colOff>
      <xdr:row>67</xdr:row>
      <xdr:rowOff>167190</xdr:rowOff>
    </xdr:to>
    <xdr:sp macro="" textlink="">
      <xdr:nvSpPr>
        <xdr:cNvPr id="15" name="Rectangle 14">
          <a:extLst>
            <a:ext uri="{FF2B5EF4-FFF2-40B4-BE49-F238E27FC236}">
              <a16:creationId xmlns:a16="http://schemas.microsoft.com/office/drawing/2014/main" id="{AA34DB9A-36DF-0749-B04C-601E9EA46542}"/>
            </a:ext>
          </a:extLst>
        </xdr:cNvPr>
        <xdr:cNvSpPr/>
      </xdr:nvSpPr>
      <xdr:spPr>
        <a:xfrm flipH="1">
          <a:off x="13520886201" y="13036630"/>
          <a:ext cx="170405" cy="16076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9</a:t>
          </a:r>
          <a:endParaRPr lang="en-US" sz="1100"/>
        </a:p>
      </xdr:txBody>
    </xdr:sp>
    <xdr:clientData/>
  </xdr:twoCellAnchor>
  <xdr:twoCellAnchor>
    <xdr:from>
      <xdr:col>5</xdr:col>
      <xdr:colOff>19293</xdr:colOff>
      <xdr:row>67</xdr:row>
      <xdr:rowOff>70734</xdr:rowOff>
    </xdr:from>
    <xdr:to>
      <xdr:col>5</xdr:col>
      <xdr:colOff>65012</xdr:colOff>
      <xdr:row>67</xdr:row>
      <xdr:rowOff>141468</xdr:rowOff>
    </xdr:to>
    <xdr:sp macro="" textlink="">
      <xdr:nvSpPr>
        <xdr:cNvPr id="16" name="Left Arrow 15">
          <a:extLst>
            <a:ext uri="{FF2B5EF4-FFF2-40B4-BE49-F238E27FC236}">
              <a16:creationId xmlns:a16="http://schemas.microsoft.com/office/drawing/2014/main" id="{97AE267C-95AE-3248-B921-DC4763D0D124}"/>
            </a:ext>
          </a:extLst>
        </xdr:cNvPr>
        <xdr:cNvSpPr/>
      </xdr:nvSpPr>
      <xdr:spPr>
        <a:xfrm flipH="1">
          <a:off x="13520799488" y="13100934"/>
          <a:ext cx="45719" cy="70734"/>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a:p>
      </xdr:txBody>
    </xdr:sp>
    <xdr:clientData/>
  </xdr:twoCellAnchor>
  <xdr:twoCellAnchor>
    <xdr:from>
      <xdr:col>5</xdr:col>
      <xdr:colOff>610887</xdr:colOff>
      <xdr:row>71</xdr:row>
      <xdr:rowOff>167190</xdr:rowOff>
    </xdr:from>
    <xdr:to>
      <xdr:col>6</xdr:col>
      <xdr:colOff>122178</xdr:colOff>
      <xdr:row>72</xdr:row>
      <xdr:rowOff>131823</xdr:rowOff>
    </xdr:to>
    <xdr:sp macro="" textlink="">
      <xdr:nvSpPr>
        <xdr:cNvPr id="17" name="Rectangle 16">
          <a:extLst>
            <a:ext uri="{FF2B5EF4-FFF2-40B4-BE49-F238E27FC236}">
              <a16:creationId xmlns:a16="http://schemas.microsoft.com/office/drawing/2014/main" id="{1BF20AB8-D11A-2C45-97F4-2E5CB9B98D6C}"/>
            </a:ext>
          </a:extLst>
        </xdr:cNvPr>
        <xdr:cNvSpPr/>
      </xdr:nvSpPr>
      <xdr:spPr>
        <a:xfrm flipH="1">
          <a:off x="13519916822" y="14010190"/>
          <a:ext cx="336791" cy="16783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10</a:t>
          </a:r>
          <a:endParaRPr lang="en-US" sz="100"/>
        </a:p>
      </xdr:txBody>
    </xdr:sp>
    <xdr:clientData/>
  </xdr:twoCellAnchor>
  <xdr:twoCellAnchor>
    <xdr:from>
      <xdr:col>5</xdr:col>
      <xdr:colOff>598026</xdr:colOff>
      <xdr:row>68</xdr:row>
      <xdr:rowOff>22505</xdr:rowOff>
    </xdr:from>
    <xdr:to>
      <xdr:col>6</xdr:col>
      <xdr:colOff>109317</xdr:colOff>
      <xdr:row>68</xdr:row>
      <xdr:rowOff>189695</xdr:rowOff>
    </xdr:to>
    <xdr:sp macro="" textlink="">
      <xdr:nvSpPr>
        <xdr:cNvPr id="18" name="Rectangle 17">
          <a:extLst>
            <a:ext uri="{FF2B5EF4-FFF2-40B4-BE49-F238E27FC236}">
              <a16:creationId xmlns:a16="http://schemas.microsoft.com/office/drawing/2014/main" id="{A8BD9318-5C52-954A-8718-F10732B35AE6}"/>
            </a:ext>
          </a:extLst>
        </xdr:cNvPr>
        <xdr:cNvSpPr/>
      </xdr:nvSpPr>
      <xdr:spPr>
        <a:xfrm flipH="1">
          <a:off x="13519929683" y="13255905"/>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11</a:t>
          </a:r>
          <a:endParaRPr lang="en-US" sz="100"/>
        </a:p>
      </xdr:txBody>
    </xdr:sp>
    <xdr:clientData/>
  </xdr:twoCellAnchor>
  <xdr:twoCellAnchor>
    <xdr:from>
      <xdr:col>5</xdr:col>
      <xdr:colOff>617317</xdr:colOff>
      <xdr:row>70</xdr:row>
      <xdr:rowOff>38581</xdr:rowOff>
    </xdr:from>
    <xdr:to>
      <xdr:col>6</xdr:col>
      <xdr:colOff>128608</xdr:colOff>
      <xdr:row>71</xdr:row>
      <xdr:rowOff>3215</xdr:rowOff>
    </xdr:to>
    <xdr:sp macro="" textlink="">
      <xdr:nvSpPr>
        <xdr:cNvPr id="19" name="Rectangle 18">
          <a:extLst>
            <a:ext uri="{FF2B5EF4-FFF2-40B4-BE49-F238E27FC236}">
              <a16:creationId xmlns:a16="http://schemas.microsoft.com/office/drawing/2014/main" id="{DF646FBE-FC32-1D40-9D5E-BC478A44F7D4}"/>
            </a:ext>
          </a:extLst>
        </xdr:cNvPr>
        <xdr:cNvSpPr/>
      </xdr:nvSpPr>
      <xdr:spPr>
        <a:xfrm flipH="1">
          <a:off x="13519910392" y="13678381"/>
          <a:ext cx="336791" cy="16783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12</a:t>
          </a:r>
          <a:endParaRPr lang="en-US" sz="100"/>
        </a:p>
      </xdr:txBody>
    </xdr:sp>
    <xdr:clientData/>
  </xdr:twoCellAnchor>
  <xdr:twoCellAnchor>
    <xdr:from>
      <xdr:col>5</xdr:col>
      <xdr:colOff>623748</xdr:colOff>
      <xdr:row>82</xdr:row>
      <xdr:rowOff>19290</xdr:rowOff>
    </xdr:from>
    <xdr:to>
      <xdr:col>6</xdr:col>
      <xdr:colOff>135039</xdr:colOff>
      <xdr:row>82</xdr:row>
      <xdr:rowOff>186480</xdr:rowOff>
    </xdr:to>
    <xdr:sp macro="" textlink="">
      <xdr:nvSpPr>
        <xdr:cNvPr id="20" name="Rectangle 19">
          <a:extLst>
            <a:ext uri="{FF2B5EF4-FFF2-40B4-BE49-F238E27FC236}">
              <a16:creationId xmlns:a16="http://schemas.microsoft.com/office/drawing/2014/main" id="{6C7282A1-F609-804E-9A42-38D1A002CFB4}"/>
            </a:ext>
          </a:extLst>
        </xdr:cNvPr>
        <xdr:cNvSpPr/>
      </xdr:nvSpPr>
      <xdr:spPr>
        <a:xfrm flipH="1">
          <a:off x="13519903961" y="16097490"/>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13</a:t>
          </a:r>
          <a:endParaRPr lang="en-US" sz="100"/>
        </a:p>
      </xdr:txBody>
    </xdr:sp>
    <xdr:clientData/>
  </xdr:twoCellAnchor>
  <xdr:twoCellAnchor>
    <xdr:from>
      <xdr:col>5</xdr:col>
      <xdr:colOff>636609</xdr:colOff>
      <xdr:row>80</xdr:row>
      <xdr:rowOff>19290</xdr:rowOff>
    </xdr:from>
    <xdr:to>
      <xdr:col>6</xdr:col>
      <xdr:colOff>147900</xdr:colOff>
      <xdr:row>80</xdr:row>
      <xdr:rowOff>186480</xdr:rowOff>
    </xdr:to>
    <xdr:sp macro="" textlink="">
      <xdr:nvSpPr>
        <xdr:cNvPr id="21" name="Rectangle 20">
          <a:extLst>
            <a:ext uri="{FF2B5EF4-FFF2-40B4-BE49-F238E27FC236}">
              <a16:creationId xmlns:a16="http://schemas.microsoft.com/office/drawing/2014/main" id="{F374FE3E-082F-E741-933E-0C8DADF85792}"/>
            </a:ext>
          </a:extLst>
        </xdr:cNvPr>
        <xdr:cNvSpPr/>
      </xdr:nvSpPr>
      <xdr:spPr>
        <a:xfrm flipH="1">
          <a:off x="13519891100" y="15691090"/>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14</a:t>
          </a:r>
          <a:endParaRPr lang="en-US" sz="100"/>
        </a:p>
      </xdr:txBody>
    </xdr:sp>
    <xdr:clientData/>
  </xdr:twoCellAnchor>
  <xdr:twoCellAnchor>
    <xdr:from>
      <xdr:col>5</xdr:col>
      <xdr:colOff>787724</xdr:colOff>
      <xdr:row>67</xdr:row>
      <xdr:rowOff>73949</xdr:rowOff>
    </xdr:from>
    <xdr:to>
      <xdr:col>6</xdr:col>
      <xdr:colOff>7139</xdr:colOff>
      <xdr:row>67</xdr:row>
      <xdr:rowOff>144683</xdr:rowOff>
    </xdr:to>
    <xdr:sp macro="" textlink="">
      <xdr:nvSpPr>
        <xdr:cNvPr id="22" name="Left Arrow 21">
          <a:extLst>
            <a:ext uri="{FF2B5EF4-FFF2-40B4-BE49-F238E27FC236}">
              <a16:creationId xmlns:a16="http://schemas.microsoft.com/office/drawing/2014/main" id="{9AF29F09-F3FA-0142-9591-BD31008AE8E2}"/>
            </a:ext>
          </a:extLst>
        </xdr:cNvPr>
        <xdr:cNvSpPr/>
      </xdr:nvSpPr>
      <xdr:spPr>
        <a:xfrm flipH="1">
          <a:off x="13520031861" y="13104149"/>
          <a:ext cx="44915" cy="70734"/>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a:p>
      </xdr:txBody>
    </xdr:sp>
    <xdr:clientData/>
  </xdr:twoCellAnchor>
  <xdr:twoCellAnchor>
    <xdr:from>
      <xdr:col>6</xdr:col>
      <xdr:colOff>572304</xdr:colOff>
      <xdr:row>71</xdr:row>
      <xdr:rowOff>173620</xdr:rowOff>
    </xdr:from>
    <xdr:to>
      <xdr:col>7</xdr:col>
      <xdr:colOff>83596</xdr:colOff>
      <xdr:row>72</xdr:row>
      <xdr:rowOff>138253</xdr:rowOff>
    </xdr:to>
    <xdr:sp macro="" textlink="">
      <xdr:nvSpPr>
        <xdr:cNvPr id="23" name="Rectangle 22">
          <a:extLst>
            <a:ext uri="{FF2B5EF4-FFF2-40B4-BE49-F238E27FC236}">
              <a16:creationId xmlns:a16="http://schemas.microsoft.com/office/drawing/2014/main" id="{BA077DB5-8C83-1643-9D79-537A5D7DA0E2}"/>
            </a:ext>
          </a:extLst>
        </xdr:cNvPr>
        <xdr:cNvSpPr/>
      </xdr:nvSpPr>
      <xdr:spPr>
        <a:xfrm flipH="1">
          <a:off x="13519129904" y="14016620"/>
          <a:ext cx="336792" cy="16783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15</a:t>
          </a:r>
          <a:endParaRPr lang="en-US" sz="100"/>
        </a:p>
      </xdr:txBody>
    </xdr:sp>
    <xdr:clientData/>
  </xdr:twoCellAnchor>
  <xdr:twoCellAnchor>
    <xdr:from>
      <xdr:col>6</xdr:col>
      <xdr:colOff>585165</xdr:colOff>
      <xdr:row>68</xdr:row>
      <xdr:rowOff>19290</xdr:rowOff>
    </xdr:from>
    <xdr:to>
      <xdr:col>7</xdr:col>
      <xdr:colOff>96457</xdr:colOff>
      <xdr:row>68</xdr:row>
      <xdr:rowOff>186480</xdr:rowOff>
    </xdr:to>
    <xdr:sp macro="" textlink="">
      <xdr:nvSpPr>
        <xdr:cNvPr id="24" name="Rectangle 23">
          <a:extLst>
            <a:ext uri="{FF2B5EF4-FFF2-40B4-BE49-F238E27FC236}">
              <a16:creationId xmlns:a16="http://schemas.microsoft.com/office/drawing/2014/main" id="{34F9D570-7E8C-314F-B238-9E016EECDA1A}"/>
            </a:ext>
          </a:extLst>
        </xdr:cNvPr>
        <xdr:cNvSpPr/>
      </xdr:nvSpPr>
      <xdr:spPr>
        <a:xfrm flipH="1">
          <a:off x="13519117043" y="13252690"/>
          <a:ext cx="336792"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16</a:t>
          </a:r>
          <a:endParaRPr lang="en-US" sz="100"/>
        </a:p>
      </xdr:txBody>
    </xdr:sp>
    <xdr:clientData/>
  </xdr:twoCellAnchor>
  <xdr:twoCellAnchor>
    <xdr:from>
      <xdr:col>6</xdr:col>
      <xdr:colOff>610887</xdr:colOff>
      <xdr:row>70</xdr:row>
      <xdr:rowOff>22506</xdr:rowOff>
    </xdr:from>
    <xdr:to>
      <xdr:col>7</xdr:col>
      <xdr:colOff>122179</xdr:colOff>
      <xdr:row>70</xdr:row>
      <xdr:rowOff>189696</xdr:rowOff>
    </xdr:to>
    <xdr:sp macro="" textlink="">
      <xdr:nvSpPr>
        <xdr:cNvPr id="25" name="Rectangle 24">
          <a:extLst>
            <a:ext uri="{FF2B5EF4-FFF2-40B4-BE49-F238E27FC236}">
              <a16:creationId xmlns:a16="http://schemas.microsoft.com/office/drawing/2014/main" id="{2FFFA025-F177-144D-845E-6B1CDE80CB46}"/>
            </a:ext>
          </a:extLst>
        </xdr:cNvPr>
        <xdr:cNvSpPr/>
      </xdr:nvSpPr>
      <xdr:spPr>
        <a:xfrm flipH="1">
          <a:off x="13519091321" y="13662306"/>
          <a:ext cx="336792"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17</a:t>
          </a:r>
          <a:endParaRPr lang="en-US" sz="100"/>
        </a:p>
      </xdr:txBody>
    </xdr:sp>
    <xdr:clientData/>
  </xdr:twoCellAnchor>
  <xdr:twoCellAnchor>
    <xdr:from>
      <xdr:col>6</xdr:col>
      <xdr:colOff>180052</xdr:colOff>
      <xdr:row>82</xdr:row>
      <xdr:rowOff>64303</xdr:rowOff>
    </xdr:from>
    <xdr:to>
      <xdr:col>6</xdr:col>
      <xdr:colOff>225771</xdr:colOff>
      <xdr:row>82</xdr:row>
      <xdr:rowOff>135037</xdr:rowOff>
    </xdr:to>
    <xdr:sp macro="" textlink="">
      <xdr:nvSpPr>
        <xdr:cNvPr id="26" name="Left Arrow 25">
          <a:extLst>
            <a:ext uri="{FF2B5EF4-FFF2-40B4-BE49-F238E27FC236}">
              <a16:creationId xmlns:a16="http://schemas.microsoft.com/office/drawing/2014/main" id="{41B6853E-5097-CB4F-9ED9-1A2C8F3FAC47}"/>
            </a:ext>
          </a:extLst>
        </xdr:cNvPr>
        <xdr:cNvSpPr/>
      </xdr:nvSpPr>
      <xdr:spPr>
        <a:xfrm flipH="1">
          <a:off x="13519813229" y="16142503"/>
          <a:ext cx="45719" cy="70734"/>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a:p>
      </xdr:txBody>
    </xdr:sp>
    <xdr:clientData/>
  </xdr:twoCellAnchor>
  <xdr:twoCellAnchor>
    <xdr:from>
      <xdr:col>6</xdr:col>
      <xdr:colOff>630177</xdr:colOff>
      <xdr:row>80</xdr:row>
      <xdr:rowOff>25721</xdr:rowOff>
    </xdr:from>
    <xdr:to>
      <xdr:col>7</xdr:col>
      <xdr:colOff>141469</xdr:colOff>
      <xdr:row>80</xdr:row>
      <xdr:rowOff>192911</xdr:rowOff>
    </xdr:to>
    <xdr:sp macro="" textlink="">
      <xdr:nvSpPr>
        <xdr:cNvPr id="27" name="Rectangle 26">
          <a:extLst>
            <a:ext uri="{FF2B5EF4-FFF2-40B4-BE49-F238E27FC236}">
              <a16:creationId xmlns:a16="http://schemas.microsoft.com/office/drawing/2014/main" id="{5D9C8D37-42AB-C742-B657-6803F2A5433C}"/>
            </a:ext>
          </a:extLst>
        </xdr:cNvPr>
        <xdr:cNvSpPr/>
      </xdr:nvSpPr>
      <xdr:spPr>
        <a:xfrm flipH="1">
          <a:off x="13519072031" y="15697521"/>
          <a:ext cx="336792"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18</a:t>
          </a:r>
          <a:endParaRPr lang="en-US" sz="100"/>
        </a:p>
      </xdr:txBody>
    </xdr:sp>
    <xdr:clientData/>
  </xdr:twoCellAnchor>
  <xdr:twoCellAnchor>
    <xdr:from>
      <xdr:col>7</xdr:col>
      <xdr:colOff>630179</xdr:colOff>
      <xdr:row>70</xdr:row>
      <xdr:rowOff>16075</xdr:rowOff>
    </xdr:from>
    <xdr:to>
      <xdr:col>8</xdr:col>
      <xdr:colOff>141470</xdr:colOff>
      <xdr:row>70</xdr:row>
      <xdr:rowOff>183265</xdr:rowOff>
    </xdr:to>
    <xdr:sp macro="" textlink="">
      <xdr:nvSpPr>
        <xdr:cNvPr id="28" name="Rectangle 27">
          <a:extLst>
            <a:ext uri="{FF2B5EF4-FFF2-40B4-BE49-F238E27FC236}">
              <a16:creationId xmlns:a16="http://schemas.microsoft.com/office/drawing/2014/main" id="{397B48D2-4BDB-AE45-B018-CDD97D1C97C0}"/>
            </a:ext>
          </a:extLst>
        </xdr:cNvPr>
        <xdr:cNvSpPr/>
      </xdr:nvSpPr>
      <xdr:spPr>
        <a:xfrm flipH="1">
          <a:off x="13518246530" y="13655875"/>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18</a:t>
          </a:r>
          <a:endParaRPr lang="en-US" sz="100"/>
        </a:p>
      </xdr:txBody>
    </xdr:sp>
    <xdr:clientData/>
  </xdr:twoCellAnchor>
  <xdr:twoCellAnchor>
    <xdr:from>
      <xdr:col>7</xdr:col>
      <xdr:colOff>115747</xdr:colOff>
      <xdr:row>72</xdr:row>
      <xdr:rowOff>54658</xdr:rowOff>
    </xdr:from>
    <xdr:to>
      <xdr:col>7</xdr:col>
      <xdr:colOff>161466</xdr:colOff>
      <xdr:row>72</xdr:row>
      <xdr:rowOff>125392</xdr:rowOff>
    </xdr:to>
    <xdr:sp macro="" textlink="">
      <xdr:nvSpPr>
        <xdr:cNvPr id="29" name="Left Arrow 28">
          <a:extLst>
            <a:ext uri="{FF2B5EF4-FFF2-40B4-BE49-F238E27FC236}">
              <a16:creationId xmlns:a16="http://schemas.microsoft.com/office/drawing/2014/main" id="{9F961FCF-0DDE-7146-A7FB-3789B1F515A3}"/>
            </a:ext>
          </a:extLst>
        </xdr:cNvPr>
        <xdr:cNvSpPr/>
      </xdr:nvSpPr>
      <xdr:spPr>
        <a:xfrm flipH="1">
          <a:off x="13519052034" y="14100858"/>
          <a:ext cx="45719" cy="70734"/>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a:p>
      </xdr:txBody>
    </xdr:sp>
    <xdr:clientData/>
  </xdr:twoCellAnchor>
  <xdr:twoCellAnchor>
    <xdr:from>
      <xdr:col>7</xdr:col>
      <xdr:colOff>598027</xdr:colOff>
      <xdr:row>68</xdr:row>
      <xdr:rowOff>25719</xdr:rowOff>
    </xdr:from>
    <xdr:to>
      <xdr:col>8</xdr:col>
      <xdr:colOff>109318</xdr:colOff>
      <xdr:row>68</xdr:row>
      <xdr:rowOff>192909</xdr:rowOff>
    </xdr:to>
    <xdr:sp macro="" textlink="">
      <xdr:nvSpPr>
        <xdr:cNvPr id="30" name="Rectangle 29">
          <a:extLst>
            <a:ext uri="{FF2B5EF4-FFF2-40B4-BE49-F238E27FC236}">
              <a16:creationId xmlns:a16="http://schemas.microsoft.com/office/drawing/2014/main" id="{0C1BFD43-7EE2-0E4B-B5D6-A120D18F430C}"/>
            </a:ext>
          </a:extLst>
        </xdr:cNvPr>
        <xdr:cNvSpPr/>
      </xdr:nvSpPr>
      <xdr:spPr>
        <a:xfrm flipH="1">
          <a:off x="13518278682" y="13259119"/>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19</a:t>
          </a:r>
          <a:endParaRPr lang="en-US" sz="100"/>
        </a:p>
      </xdr:txBody>
    </xdr:sp>
    <xdr:clientData/>
  </xdr:twoCellAnchor>
  <xdr:twoCellAnchor>
    <xdr:from>
      <xdr:col>7</xdr:col>
      <xdr:colOff>710559</xdr:colOff>
      <xdr:row>78</xdr:row>
      <xdr:rowOff>12859</xdr:rowOff>
    </xdr:from>
    <xdr:to>
      <xdr:col>8</xdr:col>
      <xdr:colOff>221850</xdr:colOff>
      <xdr:row>78</xdr:row>
      <xdr:rowOff>180049</xdr:rowOff>
    </xdr:to>
    <xdr:sp macro="" textlink="">
      <xdr:nvSpPr>
        <xdr:cNvPr id="31" name="Rectangle 30">
          <a:extLst>
            <a:ext uri="{FF2B5EF4-FFF2-40B4-BE49-F238E27FC236}">
              <a16:creationId xmlns:a16="http://schemas.microsoft.com/office/drawing/2014/main" id="{26BCFFCD-95D8-7D44-AF49-7FF2012216D8}"/>
            </a:ext>
          </a:extLst>
        </xdr:cNvPr>
        <xdr:cNvSpPr/>
      </xdr:nvSpPr>
      <xdr:spPr>
        <a:xfrm flipH="1">
          <a:off x="13518166150" y="15278259"/>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20</a:t>
          </a:r>
          <a:endParaRPr lang="en-US" sz="100"/>
        </a:p>
      </xdr:txBody>
    </xdr:sp>
    <xdr:clientData/>
  </xdr:twoCellAnchor>
  <xdr:twoCellAnchor>
    <xdr:from>
      <xdr:col>7</xdr:col>
      <xdr:colOff>716990</xdr:colOff>
      <xdr:row>80</xdr:row>
      <xdr:rowOff>25719</xdr:rowOff>
    </xdr:from>
    <xdr:to>
      <xdr:col>8</xdr:col>
      <xdr:colOff>228281</xdr:colOff>
      <xdr:row>80</xdr:row>
      <xdr:rowOff>192909</xdr:rowOff>
    </xdr:to>
    <xdr:sp macro="" textlink="">
      <xdr:nvSpPr>
        <xdr:cNvPr id="32" name="Rectangle 31">
          <a:extLst>
            <a:ext uri="{FF2B5EF4-FFF2-40B4-BE49-F238E27FC236}">
              <a16:creationId xmlns:a16="http://schemas.microsoft.com/office/drawing/2014/main" id="{6CCE78EC-D036-7449-9C3D-5B43813E2428}"/>
            </a:ext>
          </a:extLst>
        </xdr:cNvPr>
        <xdr:cNvSpPr/>
      </xdr:nvSpPr>
      <xdr:spPr>
        <a:xfrm flipH="1">
          <a:off x="13518159719" y="15697519"/>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21</a:t>
          </a:r>
          <a:endParaRPr lang="en-US" sz="100"/>
        </a:p>
      </xdr:txBody>
    </xdr:sp>
    <xdr:clientData/>
  </xdr:twoCellAnchor>
  <xdr:twoCellAnchor>
    <xdr:from>
      <xdr:col>6</xdr:col>
      <xdr:colOff>752356</xdr:colOff>
      <xdr:row>82</xdr:row>
      <xdr:rowOff>73949</xdr:rowOff>
    </xdr:from>
    <xdr:to>
      <xdr:col>6</xdr:col>
      <xdr:colOff>798075</xdr:colOff>
      <xdr:row>82</xdr:row>
      <xdr:rowOff>144683</xdr:rowOff>
    </xdr:to>
    <xdr:sp macro="" textlink="">
      <xdr:nvSpPr>
        <xdr:cNvPr id="33" name="Left Arrow 32">
          <a:extLst>
            <a:ext uri="{FF2B5EF4-FFF2-40B4-BE49-F238E27FC236}">
              <a16:creationId xmlns:a16="http://schemas.microsoft.com/office/drawing/2014/main" id="{230C030A-1A4A-8345-A396-6357D89E1F05}"/>
            </a:ext>
          </a:extLst>
        </xdr:cNvPr>
        <xdr:cNvSpPr/>
      </xdr:nvSpPr>
      <xdr:spPr>
        <a:xfrm flipH="1">
          <a:off x="13519240925" y="16152149"/>
          <a:ext cx="45719" cy="70734"/>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a:p>
      </xdr:txBody>
    </xdr:sp>
    <xdr:clientData/>
  </xdr:twoCellAnchor>
  <xdr:twoCellAnchor>
    <xdr:from>
      <xdr:col>7</xdr:col>
      <xdr:colOff>723420</xdr:colOff>
      <xdr:row>74</xdr:row>
      <xdr:rowOff>3213</xdr:rowOff>
    </xdr:from>
    <xdr:to>
      <xdr:col>8</xdr:col>
      <xdr:colOff>234711</xdr:colOff>
      <xdr:row>74</xdr:row>
      <xdr:rowOff>170403</xdr:rowOff>
    </xdr:to>
    <xdr:sp macro="" textlink="">
      <xdr:nvSpPr>
        <xdr:cNvPr id="34" name="Rectangle 33">
          <a:extLst>
            <a:ext uri="{FF2B5EF4-FFF2-40B4-BE49-F238E27FC236}">
              <a16:creationId xmlns:a16="http://schemas.microsoft.com/office/drawing/2014/main" id="{14F13884-71A2-6549-B73A-5D3B8192B9E0}"/>
            </a:ext>
          </a:extLst>
        </xdr:cNvPr>
        <xdr:cNvSpPr/>
      </xdr:nvSpPr>
      <xdr:spPr>
        <a:xfrm flipH="1">
          <a:off x="13518153289" y="14455813"/>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22</a:t>
          </a:r>
          <a:endParaRPr lang="en-US" sz="100"/>
        </a:p>
      </xdr:txBody>
    </xdr:sp>
    <xdr:clientData/>
  </xdr:twoCellAnchor>
  <xdr:twoCellAnchor>
    <xdr:from>
      <xdr:col>7</xdr:col>
      <xdr:colOff>610889</xdr:colOff>
      <xdr:row>67</xdr:row>
      <xdr:rowOff>25718</xdr:rowOff>
    </xdr:from>
    <xdr:to>
      <xdr:col>8</xdr:col>
      <xdr:colOff>122180</xdr:colOff>
      <xdr:row>67</xdr:row>
      <xdr:rowOff>192908</xdr:rowOff>
    </xdr:to>
    <xdr:sp macro="" textlink="">
      <xdr:nvSpPr>
        <xdr:cNvPr id="35" name="Rectangle 34">
          <a:extLst>
            <a:ext uri="{FF2B5EF4-FFF2-40B4-BE49-F238E27FC236}">
              <a16:creationId xmlns:a16="http://schemas.microsoft.com/office/drawing/2014/main" id="{3D8573D6-44F2-F147-9BFC-CE95A8CFFF1C}"/>
            </a:ext>
          </a:extLst>
        </xdr:cNvPr>
        <xdr:cNvSpPr/>
      </xdr:nvSpPr>
      <xdr:spPr>
        <a:xfrm flipH="1">
          <a:off x="13518265820" y="13055918"/>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23</a:t>
          </a:r>
          <a:endParaRPr lang="en-US" sz="100"/>
        </a:p>
      </xdr:txBody>
    </xdr:sp>
    <xdr:clientData/>
  </xdr:twoCellAnchor>
  <xdr:twoCellAnchor>
    <xdr:from>
      <xdr:col>8</xdr:col>
      <xdr:colOff>176836</xdr:colOff>
      <xdr:row>67</xdr:row>
      <xdr:rowOff>73948</xdr:rowOff>
    </xdr:from>
    <xdr:to>
      <xdr:col>8</xdr:col>
      <xdr:colOff>222555</xdr:colOff>
      <xdr:row>67</xdr:row>
      <xdr:rowOff>144682</xdr:rowOff>
    </xdr:to>
    <xdr:sp macro="" textlink="">
      <xdr:nvSpPr>
        <xdr:cNvPr id="36" name="Left Arrow 35">
          <a:extLst>
            <a:ext uri="{FF2B5EF4-FFF2-40B4-BE49-F238E27FC236}">
              <a16:creationId xmlns:a16="http://schemas.microsoft.com/office/drawing/2014/main" id="{552FB22E-41DB-C24A-A2BC-D1147EA68E76}"/>
            </a:ext>
          </a:extLst>
        </xdr:cNvPr>
        <xdr:cNvSpPr/>
      </xdr:nvSpPr>
      <xdr:spPr>
        <a:xfrm flipH="1">
          <a:off x="13518165445" y="13104148"/>
          <a:ext cx="45719" cy="70734"/>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a:p>
      </xdr:txBody>
    </xdr:sp>
    <xdr:clientData/>
  </xdr:twoCellAnchor>
  <xdr:twoCellAnchor>
    <xdr:from>
      <xdr:col>8</xdr:col>
      <xdr:colOff>598028</xdr:colOff>
      <xdr:row>72</xdr:row>
      <xdr:rowOff>25718</xdr:rowOff>
    </xdr:from>
    <xdr:to>
      <xdr:col>9</xdr:col>
      <xdr:colOff>109319</xdr:colOff>
      <xdr:row>72</xdr:row>
      <xdr:rowOff>192908</xdr:rowOff>
    </xdr:to>
    <xdr:sp macro="" textlink="">
      <xdr:nvSpPr>
        <xdr:cNvPr id="37" name="Rectangle 36">
          <a:extLst>
            <a:ext uri="{FF2B5EF4-FFF2-40B4-BE49-F238E27FC236}">
              <a16:creationId xmlns:a16="http://schemas.microsoft.com/office/drawing/2014/main" id="{9A0CF17B-3027-794B-BE48-876935DC9F30}"/>
            </a:ext>
          </a:extLst>
        </xdr:cNvPr>
        <xdr:cNvSpPr/>
      </xdr:nvSpPr>
      <xdr:spPr>
        <a:xfrm flipH="1">
          <a:off x="13517453181" y="14071918"/>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24</a:t>
          </a:r>
          <a:endParaRPr lang="en-US" sz="100"/>
        </a:p>
      </xdr:txBody>
    </xdr:sp>
    <xdr:clientData/>
  </xdr:twoCellAnchor>
  <xdr:twoCellAnchor>
    <xdr:from>
      <xdr:col>8</xdr:col>
      <xdr:colOff>614104</xdr:colOff>
      <xdr:row>68</xdr:row>
      <xdr:rowOff>16072</xdr:rowOff>
    </xdr:from>
    <xdr:to>
      <xdr:col>9</xdr:col>
      <xdr:colOff>125395</xdr:colOff>
      <xdr:row>68</xdr:row>
      <xdr:rowOff>183262</xdr:rowOff>
    </xdr:to>
    <xdr:sp macro="" textlink="">
      <xdr:nvSpPr>
        <xdr:cNvPr id="38" name="Rectangle 37">
          <a:extLst>
            <a:ext uri="{FF2B5EF4-FFF2-40B4-BE49-F238E27FC236}">
              <a16:creationId xmlns:a16="http://schemas.microsoft.com/office/drawing/2014/main" id="{EE2BE132-366C-EB44-9015-9C2430F60E57}"/>
            </a:ext>
          </a:extLst>
        </xdr:cNvPr>
        <xdr:cNvSpPr/>
      </xdr:nvSpPr>
      <xdr:spPr>
        <a:xfrm flipH="1">
          <a:off x="13517437105" y="13249472"/>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25</a:t>
          </a:r>
          <a:endParaRPr lang="en-US" sz="100"/>
        </a:p>
      </xdr:txBody>
    </xdr:sp>
    <xdr:clientData/>
  </xdr:twoCellAnchor>
  <xdr:twoCellAnchor>
    <xdr:from>
      <xdr:col>8</xdr:col>
      <xdr:colOff>614104</xdr:colOff>
      <xdr:row>69</xdr:row>
      <xdr:rowOff>3213</xdr:rowOff>
    </xdr:from>
    <xdr:to>
      <xdr:col>9</xdr:col>
      <xdr:colOff>125395</xdr:colOff>
      <xdr:row>69</xdr:row>
      <xdr:rowOff>170403</xdr:rowOff>
    </xdr:to>
    <xdr:sp macro="" textlink="">
      <xdr:nvSpPr>
        <xdr:cNvPr id="39" name="Rectangle 38">
          <a:extLst>
            <a:ext uri="{FF2B5EF4-FFF2-40B4-BE49-F238E27FC236}">
              <a16:creationId xmlns:a16="http://schemas.microsoft.com/office/drawing/2014/main" id="{7787D0E7-E550-744C-9EFC-7271DCB5B467}"/>
            </a:ext>
          </a:extLst>
        </xdr:cNvPr>
        <xdr:cNvSpPr/>
      </xdr:nvSpPr>
      <xdr:spPr>
        <a:xfrm flipH="1">
          <a:off x="13517437105" y="13439813"/>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26</a:t>
          </a:r>
          <a:endParaRPr lang="en-US" sz="100"/>
        </a:p>
      </xdr:txBody>
    </xdr:sp>
    <xdr:clientData/>
  </xdr:twoCellAnchor>
  <xdr:twoCellAnchor>
    <xdr:from>
      <xdr:col>8</xdr:col>
      <xdr:colOff>614104</xdr:colOff>
      <xdr:row>70</xdr:row>
      <xdr:rowOff>12858</xdr:rowOff>
    </xdr:from>
    <xdr:to>
      <xdr:col>9</xdr:col>
      <xdr:colOff>125395</xdr:colOff>
      <xdr:row>70</xdr:row>
      <xdr:rowOff>180048</xdr:rowOff>
    </xdr:to>
    <xdr:sp macro="" textlink="">
      <xdr:nvSpPr>
        <xdr:cNvPr id="40" name="Rectangle 39">
          <a:extLst>
            <a:ext uri="{FF2B5EF4-FFF2-40B4-BE49-F238E27FC236}">
              <a16:creationId xmlns:a16="http://schemas.microsoft.com/office/drawing/2014/main" id="{B80B3C83-6A60-564D-AEE8-695E7B2D2D6D}"/>
            </a:ext>
          </a:extLst>
        </xdr:cNvPr>
        <xdr:cNvSpPr/>
      </xdr:nvSpPr>
      <xdr:spPr>
        <a:xfrm flipH="1">
          <a:off x="13517437105" y="13652658"/>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27</a:t>
          </a:r>
          <a:endParaRPr lang="en-US" sz="100"/>
        </a:p>
      </xdr:txBody>
    </xdr:sp>
    <xdr:clientData/>
  </xdr:twoCellAnchor>
  <xdr:twoCellAnchor>
    <xdr:from>
      <xdr:col>8</xdr:col>
      <xdr:colOff>810228</xdr:colOff>
      <xdr:row>67</xdr:row>
      <xdr:rowOff>73948</xdr:rowOff>
    </xdr:from>
    <xdr:to>
      <xdr:col>9</xdr:col>
      <xdr:colOff>29643</xdr:colOff>
      <xdr:row>67</xdr:row>
      <xdr:rowOff>144682</xdr:rowOff>
    </xdr:to>
    <xdr:sp macro="" textlink="">
      <xdr:nvSpPr>
        <xdr:cNvPr id="41" name="Left Arrow 40">
          <a:extLst>
            <a:ext uri="{FF2B5EF4-FFF2-40B4-BE49-F238E27FC236}">
              <a16:creationId xmlns:a16="http://schemas.microsoft.com/office/drawing/2014/main" id="{18B85072-5515-724E-9CDF-9B4E2F6BDECA}"/>
            </a:ext>
          </a:extLst>
        </xdr:cNvPr>
        <xdr:cNvSpPr/>
      </xdr:nvSpPr>
      <xdr:spPr>
        <a:xfrm flipH="1">
          <a:off x="13517532857" y="13104148"/>
          <a:ext cx="44915" cy="70734"/>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a:p>
      </xdr:txBody>
    </xdr:sp>
    <xdr:clientData/>
  </xdr:twoCellAnchor>
  <xdr:twoCellAnchor>
    <xdr:from>
      <xdr:col>9</xdr:col>
      <xdr:colOff>122177</xdr:colOff>
      <xdr:row>72</xdr:row>
      <xdr:rowOff>70734</xdr:rowOff>
    </xdr:from>
    <xdr:to>
      <xdr:col>9</xdr:col>
      <xdr:colOff>167896</xdr:colOff>
      <xdr:row>72</xdr:row>
      <xdr:rowOff>141468</xdr:rowOff>
    </xdr:to>
    <xdr:sp macro="" textlink="">
      <xdr:nvSpPr>
        <xdr:cNvPr id="42" name="Left Arrow 41">
          <a:extLst>
            <a:ext uri="{FF2B5EF4-FFF2-40B4-BE49-F238E27FC236}">
              <a16:creationId xmlns:a16="http://schemas.microsoft.com/office/drawing/2014/main" id="{C59ABF7E-F8C0-2A49-B92F-AE66BAD45FDD}"/>
            </a:ext>
          </a:extLst>
        </xdr:cNvPr>
        <xdr:cNvSpPr/>
      </xdr:nvSpPr>
      <xdr:spPr>
        <a:xfrm flipH="1">
          <a:off x="13517394604" y="14116934"/>
          <a:ext cx="45719" cy="70734"/>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a:p>
      </xdr:txBody>
    </xdr:sp>
    <xdr:clientData/>
  </xdr:twoCellAnchor>
  <xdr:twoCellAnchor>
    <xdr:from>
      <xdr:col>9</xdr:col>
      <xdr:colOff>614104</xdr:colOff>
      <xdr:row>68</xdr:row>
      <xdr:rowOff>16072</xdr:rowOff>
    </xdr:from>
    <xdr:to>
      <xdr:col>10</xdr:col>
      <xdr:colOff>125395</xdr:colOff>
      <xdr:row>68</xdr:row>
      <xdr:rowOff>183262</xdr:rowOff>
    </xdr:to>
    <xdr:sp macro="" textlink="">
      <xdr:nvSpPr>
        <xdr:cNvPr id="43" name="Rectangle 42">
          <a:extLst>
            <a:ext uri="{FF2B5EF4-FFF2-40B4-BE49-F238E27FC236}">
              <a16:creationId xmlns:a16="http://schemas.microsoft.com/office/drawing/2014/main" id="{1F3BC175-ED7F-FC4D-BD21-BCAC2AE4F51D}"/>
            </a:ext>
          </a:extLst>
        </xdr:cNvPr>
        <xdr:cNvSpPr/>
      </xdr:nvSpPr>
      <xdr:spPr>
        <a:xfrm flipH="1">
          <a:off x="13516611605" y="13249472"/>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28</a:t>
          </a:r>
          <a:endParaRPr lang="en-US" sz="100"/>
        </a:p>
      </xdr:txBody>
    </xdr:sp>
    <xdr:clientData/>
  </xdr:twoCellAnchor>
  <xdr:twoCellAnchor>
    <xdr:from>
      <xdr:col>9</xdr:col>
      <xdr:colOff>604458</xdr:colOff>
      <xdr:row>69</xdr:row>
      <xdr:rowOff>22503</xdr:rowOff>
    </xdr:from>
    <xdr:to>
      <xdr:col>10</xdr:col>
      <xdr:colOff>115749</xdr:colOff>
      <xdr:row>69</xdr:row>
      <xdr:rowOff>189693</xdr:rowOff>
    </xdr:to>
    <xdr:sp macro="" textlink="">
      <xdr:nvSpPr>
        <xdr:cNvPr id="44" name="Rectangle 43">
          <a:extLst>
            <a:ext uri="{FF2B5EF4-FFF2-40B4-BE49-F238E27FC236}">
              <a16:creationId xmlns:a16="http://schemas.microsoft.com/office/drawing/2014/main" id="{C715FA3E-4C16-0043-83A5-B535F73BCAE8}"/>
            </a:ext>
          </a:extLst>
        </xdr:cNvPr>
        <xdr:cNvSpPr/>
      </xdr:nvSpPr>
      <xdr:spPr>
        <a:xfrm flipH="1">
          <a:off x="13516621251" y="13459103"/>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29</a:t>
          </a:r>
          <a:endParaRPr lang="en-US" sz="100"/>
        </a:p>
      </xdr:txBody>
    </xdr:sp>
    <xdr:clientData/>
  </xdr:twoCellAnchor>
  <xdr:twoCellAnchor>
    <xdr:from>
      <xdr:col>9</xdr:col>
      <xdr:colOff>607673</xdr:colOff>
      <xdr:row>70</xdr:row>
      <xdr:rowOff>22503</xdr:rowOff>
    </xdr:from>
    <xdr:to>
      <xdr:col>10</xdr:col>
      <xdr:colOff>118964</xdr:colOff>
      <xdr:row>70</xdr:row>
      <xdr:rowOff>189693</xdr:rowOff>
    </xdr:to>
    <xdr:sp macro="" textlink="">
      <xdr:nvSpPr>
        <xdr:cNvPr id="45" name="Rectangle 44">
          <a:extLst>
            <a:ext uri="{FF2B5EF4-FFF2-40B4-BE49-F238E27FC236}">
              <a16:creationId xmlns:a16="http://schemas.microsoft.com/office/drawing/2014/main" id="{E55F10AE-D20D-464D-8F7E-F079DCC509EF}"/>
            </a:ext>
          </a:extLst>
        </xdr:cNvPr>
        <xdr:cNvSpPr/>
      </xdr:nvSpPr>
      <xdr:spPr>
        <a:xfrm flipH="1">
          <a:off x="13516618036" y="13662303"/>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30</a:t>
          </a:r>
          <a:endParaRPr lang="en-US" sz="100"/>
        </a:p>
      </xdr:txBody>
    </xdr:sp>
    <xdr:clientData/>
  </xdr:twoCellAnchor>
  <xdr:twoCellAnchor>
    <xdr:from>
      <xdr:col>10</xdr:col>
      <xdr:colOff>607674</xdr:colOff>
      <xdr:row>70</xdr:row>
      <xdr:rowOff>22503</xdr:rowOff>
    </xdr:from>
    <xdr:to>
      <xdr:col>11</xdr:col>
      <xdr:colOff>118965</xdr:colOff>
      <xdr:row>70</xdr:row>
      <xdr:rowOff>189693</xdr:rowOff>
    </xdr:to>
    <xdr:sp macro="" textlink="">
      <xdr:nvSpPr>
        <xdr:cNvPr id="46" name="Rectangle 45">
          <a:extLst>
            <a:ext uri="{FF2B5EF4-FFF2-40B4-BE49-F238E27FC236}">
              <a16:creationId xmlns:a16="http://schemas.microsoft.com/office/drawing/2014/main" id="{00355C34-98CB-8B47-B65A-5AA34B7FE774}"/>
            </a:ext>
          </a:extLst>
        </xdr:cNvPr>
        <xdr:cNvSpPr/>
      </xdr:nvSpPr>
      <xdr:spPr>
        <a:xfrm flipH="1">
          <a:off x="13515792535" y="13662303"/>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31</a:t>
          </a:r>
          <a:endParaRPr lang="en-US" sz="100"/>
        </a:p>
      </xdr:txBody>
    </xdr:sp>
    <xdr:clientData/>
  </xdr:twoCellAnchor>
  <xdr:twoCellAnchor>
    <xdr:from>
      <xdr:col>10</xdr:col>
      <xdr:colOff>623750</xdr:colOff>
      <xdr:row>68</xdr:row>
      <xdr:rowOff>35363</xdr:rowOff>
    </xdr:from>
    <xdr:to>
      <xdr:col>11</xdr:col>
      <xdr:colOff>135041</xdr:colOff>
      <xdr:row>68</xdr:row>
      <xdr:rowOff>202553</xdr:rowOff>
    </xdr:to>
    <xdr:sp macro="" textlink="">
      <xdr:nvSpPr>
        <xdr:cNvPr id="47" name="Rectangle 46">
          <a:extLst>
            <a:ext uri="{FF2B5EF4-FFF2-40B4-BE49-F238E27FC236}">
              <a16:creationId xmlns:a16="http://schemas.microsoft.com/office/drawing/2014/main" id="{504A653A-7015-F34D-B2DB-3691DC23373E}"/>
            </a:ext>
          </a:extLst>
        </xdr:cNvPr>
        <xdr:cNvSpPr/>
      </xdr:nvSpPr>
      <xdr:spPr>
        <a:xfrm flipH="1">
          <a:off x="13515776459" y="13268763"/>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32</a:t>
          </a:r>
          <a:endParaRPr lang="en-US" sz="100"/>
        </a:p>
      </xdr:txBody>
    </xdr:sp>
    <xdr:clientData/>
  </xdr:twoCellAnchor>
  <xdr:twoCellAnchor>
    <xdr:from>
      <xdr:col>10</xdr:col>
      <xdr:colOff>639826</xdr:colOff>
      <xdr:row>75</xdr:row>
      <xdr:rowOff>16072</xdr:rowOff>
    </xdr:from>
    <xdr:to>
      <xdr:col>11</xdr:col>
      <xdr:colOff>151117</xdr:colOff>
      <xdr:row>75</xdr:row>
      <xdr:rowOff>183262</xdr:rowOff>
    </xdr:to>
    <xdr:sp macro="" textlink="">
      <xdr:nvSpPr>
        <xdr:cNvPr id="48" name="Rectangle 47">
          <a:extLst>
            <a:ext uri="{FF2B5EF4-FFF2-40B4-BE49-F238E27FC236}">
              <a16:creationId xmlns:a16="http://schemas.microsoft.com/office/drawing/2014/main" id="{316908F3-605E-D049-9D34-1209DB70AE63}"/>
            </a:ext>
          </a:extLst>
        </xdr:cNvPr>
        <xdr:cNvSpPr/>
      </xdr:nvSpPr>
      <xdr:spPr>
        <a:xfrm flipH="1">
          <a:off x="13515760383" y="14671872"/>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33</a:t>
          </a:r>
          <a:endParaRPr lang="en-US" sz="100"/>
        </a:p>
      </xdr:txBody>
    </xdr:sp>
    <xdr:clientData/>
  </xdr:twoCellAnchor>
  <xdr:twoCellAnchor>
    <xdr:from>
      <xdr:col>10</xdr:col>
      <xdr:colOff>626965</xdr:colOff>
      <xdr:row>69</xdr:row>
      <xdr:rowOff>16072</xdr:rowOff>
    </xdr:from>
    <xdr:to>
      <xdr:col>11</xdr:col>
      <xdr:colOff>138256</xdr:colOff>
      <xdr:row>69</xdr:row>
      <xdr:rowOff>183262</xdr:rowOff>
    </xdr:to>
    <xdr:sp macro="" textlink="">
      <xdr:nvSpPr>
        <xdr:cNvPr id="49" name="Rectangle 48">
          <a:extLst>
            <a:ext uri="{FF2B5EF4-FFF2-40B4-BE49-F238E27FC236}">
              <a16:creationId xmlns:a16="http://schemas.microsoft.com/office/drawing/2014/main" id="{78D09BDB-E676-0D46-97BE-E34EB78B5208}"/>
            </a:ext>
          </a:extLst>
        </xdr:cNvPr>
        <xdr:cNvSpPr/>
      </xdr:nvSpPr>
      <xdr:spPr>
        <a:xfrm flipH="1">
          <a:off x="13515773244" y="13452672"/>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34</a:t>
          </a:r>
          <a:endParaRPr lang="en-US" sz="100"/>
        </a:p>
      </xdr:txBody>
    </xdr:sp>
    <xdr:clientData/>
  </xdr:twoCellAnchor>
  <xdr:twoCellAnchor>
    <xdr:from>
      <xdr:col>10</xdr:col>
      <xdr:colOff>655902</xdr:colOff>
      <xdr:row>77</xdr:row>
      <xdr:rowOff>22502</xdr:rowOff>
    </xdr:from>
    <xdr:to>
      <xdr:col>11</xdr:col>
      <xdr:colOff>167193</xdr:colOff>
      <xdr:row>77</xdr:row>
      <xdr:rowOff>189692</xdr:rowOff>
    </xdr:to>
    <xdr:sp macro="" textlink="">
      <xdr:nvSpPr>
        <xdr:cNvPr id="50" name="Rectangle 49">
          <a:extLst>
            <a:ext uri="{FF2B5EF4-FFF2-40B4-BE49-F238E27FC236}">
              <a16:creationId xmlns:a16="http://schemas.microsoft.com/office/drawing/2014/main" id="{FFBC551E-E778-6649-8159-DC0F408FC605}"/>
            </a:ext>
          </a:extLst>
        </xdr:cNvPr>
        <xdr:cNvSpPr/>
      </xdr:nvSpPr>
      <xdr:spPr>
        <a:xfrm flipH="1">
          <a:off x="13515744307" y="15084702"/>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35</a:t>
          </a:r>
          <a:endParaRPr lang="en-US" sz="100"/>
        </a:p>
      </xdr:txBody>
    </xdr:sp>
    <xdr:clientData/>
  </xdr:twoCellAnchor>
  <xdr:twoCellAnchor>
    <xdr:from>
      <xdr:col>10</xdr:col>
      <xdr:colOff>643041</xdr:colOff>
      <xdr:row>80</xdr:row>
      <xdr:rowOff>28933</xdr:rowOff>
    </xdr:from>
    <xdr:to>
      <xdr:col>11</xdr:col>
      <xdr:colOff>154332</xdr:colOff>
      <xdr:row>80</xdr:row>
      <xdr:rowOff>196123</xdr:rowOff>
    </xdr:to>
    <xdr:sp macro="" textlink="">
      <xdr:nvSpPr>
        <xdr:cNvPr id="51" name="Rectangle 50">
          <a:extLst>
            <a:ext uri="{FF2B5EF4-FFF2-40B4-BE49-F238E27FC236}">
              <a16:creationId xmlns:a16="http://schemas.microsoft.com/office/drawing/2014/main" id="{6AE8863E-2660-FB41-A6DA-A8B5F2DD156A}"/>
            </a:ext>
          </a:extLst>
        </xdr:cNvPr>
        <xdr:cNvSpPr/>
      </xdr:nvSpPr>
      <xdr:spPr>
        <a:xfrm flipH="1">
          <a:off x="13515757168" y="15700733"/>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36</a:t>
          </a:r>
          <a:endParaRPr lang="en-US" sz="100"/>
        </a:p>
      </xdr:txBody>
    </xdr:sp>
    <xdr:clientData/>
  </xdr:twoCellAnchor>
  <xdr:twoCellAnchor>
    <xdr:from>
      <xdr:col>10</xdr:col>
      <xdr:colOff>636611</xdr:colOff>
      <xdr:row>67</xdr:row>
      <xdr:rowOff>32148</xdr:rowOff>
    </xdr:from>
    <xdr:to>
      <xdr:col>11</xdr:col>
      <xdr:colOff>147902</xdr:colOff>
      <xdr:row>67</xdr:row>
      <xdr:rowOff>199338</xdr:rowOff>
    </xdr:to>
    <xdr:sp macro="" textlink="">
      <xdr:nvSpPr>
        <xdr:cNvPr id="52" name="Rectangle 51">
          <a:extLst>
            <a:ext uri="{FF2B5EF4-FFF2-40B4-BE49-F238E27FC236}">
              <a16:creationId xmlns:a16="http://schemas.microsoft.com/office/drawing/2014/main" id="{1FDFCCA2-5C86-F342-AAF1-7EF61984132D}"/>
            </a:ext>
          </a:extLst>
        </xdr:cNvPr>
        <xdr:cNvSpPr/>
      </xdr:nvSpPr>
      <xdr:spPr>
        <a:xfrm flipH="1">
          <a:off x="13515763598" y="13062348"/>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37</a:t>
          </a:r>
          <a:endParaRPr lang="en-US" sz="100"/>
        </a:p>
      </xdr:txBody>
    </xdr:sp>
    <xdr:clientData/>
  </xdr:twoCellAnchor>
  <xdr:twoCellAnchor>
    <xdr:from>
      <xdr:col>9</xdr:col>
      <xdr:colOff>755570</xdr:colOff>
      <xdr:row>72</xdr:row>
      <xdr:rowOff>57873</xdr:rowOff>
    </xdr:from>
    <xdr:to>
      <xdr:col>9</xdr:col>
      <xdr:colOff>801289</xdr:colOff>
      <xdr:row>72</xdr:row>
      <xdr:rowOff>128607</xdr:rowOff>
    </xdr:to>
    <xdr:sp macro="" textlink="">
      <xdr:nvSpPr>
        <xdr:cNvPr id="53" name="Left Arrow 52">
          <a:extLst>
            <a:ext uri="{FF2B5EF4-FFF2-40B4-BE49-F238E27FC236}">
              <a16:creationId xmlns:a16="http://schemas.microsoft.com/office/drawing/2014/main" id="{2BAEE30C-90E8-4040-824E-F30B5D0155A7}"/>
            </a:ext>
          </a:extLst>
        </xdr:cNvPr>
        <xdr:cNvSpPr/>
      </xdr:nvSpPr>
      <xdr:spPr>
        <a:xfrm flipH="1">
          <a:off x="13516761211" y="14104073"/>
          <a:ext cx="45719" cy="70734"/>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a:p>
      </xdr:txBody>
    </xdr:sp>
    <xdr:clientData/>
  </xdr:twoCellAnchor>
  <xdr:twoCellAnchor>
    <xdr:from>
      <xdr:col>11</xdr:col>
      <xdr:colOff>147899</xdr:colOff>
      <xdr:row>67</xdr:row>
      <xdr:rowOff>70733</xdr:rowOff>
    </xdr:from>
    <xdr:to>
      <xdr:col>11</xdr:col>
      <xdr:colOff>193618</xdr:colOff>
      <xdr:row>67</xdr:row>
      <xdr:rowOff>141467</xdr:rowOff>
    </xdr:to>
    <xdr:sp macro="" textlink="">
      <xdr:nvSpPr>
        <xdr:cNvPr id="54" name="Left Arrow 53">
          <a:extLst>
            <a:ext uri="{FF2B5EF4-FFF2-40B4-BE49-F238E27FC236}">
              <a16:creationId xmlns:a16="http://schemas.microsoft.com/office/drawing/2014/main" id="{E1568F7A-0196-1942-AE6C-0B4EF9009B4E}"/>
            </a:ext>
          </a:extLst>
        </xdr:cNvPr>
        <xdr:cNvSpPr/>
      </xdr:nvSpPr>
      <xdr:spPr>
        <a:xfrm flipH="1">
          <a:off x="13515717882" y="13100933"/>
          <a:ext cx="45719" cy="70734"/>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a:p>
      </xdr:txBody>
    </xdr:sp>
    <xdr:clientData/>
  </xdr:twoCellAnchor>
  <xdr:twoCellAnchor>
    <xdr:from>
      <xdr:col>11</xdr:col>
      <xdr:colOff>633395</xdr:colOff>
      <xdr:row>72</xdr:row>
      <xdr:rowOff>22503</xdr:rowOff>
    </xdr:from>
    <xdr:to>
      <xdr:col>12</xdr:col>
      <xdr:colOff>144687</xdr:colOff>
      <xdr:row>72</xdr:row>
      <xdr:rowOff>189693</xdr:rowOff>
    </xdr:to>
    <xdr:sp macro="" textlink="">
      <xdr:nvSpPr>
        <xdr:cNvPr id="55" name="Rectangle 54">
          <a:extLst>
            <a:ext uri="{FF2B5EF4-FFF2-40B4-BE49-F238E27FC236}">
              <a16:creationId xmlns:a16="http://schemas.microsoft.com/office/drawing/2014/main" id="{5CC308F0-0A71-3B41-8EFE-816E5088A94B}"/>
            </a:ext>
          </a:extLst>
        </xdr:cNvPr>
        <xdr:cNvSpPr/>
      </xdr:nvSpPr>
      <xdr:spPr>
        <a:xfrm flipH="1">
          <a:off x="13514941313" y="14068703"/>
          <a:ext cx="336792"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38</a:t>
          </a:r>
          <a:endParaRPr lang="en-US" sz="100"/>
        </a:p>
      </xdr:txBody>
    </xdr:sp>
    <xdr:clientData/>
  </xdr:twoCellAnchor>
  <xdr:twoCellAnchor>
    <xdr:from>
      <xdr:col>11</xdr:col>
      <xdr:colOff>633395</xdr:colOff>
      <xdr:row>68</xdr:row>
      <xdr:rowOff>12857</xdr:rowOff>
    </xdr:from>
    <xdr:to>
      <xdr:col>12</xdr:col>
      <xdr:colOff>144687</xdr:colOff>
      <xdr:row>68</xdr:row>
      <xdr:rowOff>180047</xdr:rowOff>
    </xdr:to>
    <xdr:sp macro="" textlink="">
      <xdr:nvSpPr>
        <xdr:cNvPr id="56" name="Rectangle 55">
          <a:extLst>
            <a:ext uri="{FF2B5EF4-FFF2-40B4-BE49-F238E27FC236}">
              <a16:creationId xmlns:a16="http://schemas.microsoft.com/office/drawing/2014/main" id="{726756CD-4DB3-FC4E-B60C-4B45FF2B2DC8}"/>
            </a:ext>
          </a:extLst>
        </xdr:cNvPr>
        <xdr:cNvSpPr/>
      </xdr:nvSpPr>
      <xdr:spPr>
        <a:xfrm flipH="1">
          <a:off x="13514941313" y="13246257"/>
          <a:ext cx="336792"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39</a:t>
          </a:r>
          <a:endParaRPr lang="en-US" sz="100"/>
        </a:p>
      </xdr:txBody>
    </xdr:sp>
    <xdr:clientData/>
  </xdr:twoCellAnchor>
  <xdr:twoCellAnchor>
    <xdr:from>
      <xdr:col>11</xdr:col>
      <xdr:colOff>649471</xdr:colOff>
      <xdr:row>70</xdr:row>
      <xdr:rowOff>3212</xdr:rowOff>
    </xdr:from>
    <xdr:to>
      <xdr:col>12</xdr:col>
      <xdr:colOff>160763</xdr:colOff>
      <xdr:row>70</xdr:row>
      <xdr:rowOff>170402</xdr:rowOff>
    </xdr:to>
    <xdr:sp macro="" textlink="">
      <xdr:nvSpPr>
        <xdr:cNvPr id="57" name="Rectangle 56">
          <a:extLst>
            <a:ext uri="{FF2B5EF4-FFF2-40B4-BE49-F238E27FC236}">
              <a16:creationId xmlns:a16="http://schemas.microsoft.com/office/drawing/2014/main" id="{9A23F706-23EC-E443-B197-4709E5223BA1}"/>
            </a:ext>
          </a:extLst>
        </xdr:cNvPr>
        <xdr:cNvSpPr/>
      </xdr:nvSpPr>
      <xdr:spPr>
        <a:xfrm flipH="1">
          <a:off x="13514925237" y="13643012"/>
          <a:ext cx="336792"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40</a:t>
          </a:r>
          <a:endParaRPr lang="en-US" sz="100"/>
        </a:p>
      </xdr:txBody>
    </xdr:sp>
    <xdr:clientData/>
  </xdr:twoCellAnchor>
  <xdr:twoCellAnchor>
    <xdr:from>
      <xdr:col>11</xdr:col>
      <xdr:colOff>684838</xdr:colOff>
      <xdr:row>82</xdr:row>
      <xdr:rowOff>22503</xdr:rowOff>
    </xdr:from>
    <xdr:to>
      <xdr:col>12</xdr:col>
      <xdr:colOff>196130</xdr:colOff>
      <xdr:row>82</xdr:row>
      <xdr:rowOff>189693</xdr:rowOff>
    </xdr:to>
    <xdr:sp macro="" textlink="">
      <xdr:nvSpPr>
        <xdr:cNvPr id="58" name="Rectangle 57">
          <a:extLst>
            <a:ext uri="{FF2B5EF4-FFF2-40B4-BE49-F238E27FC236}">
              <a16:creationId xmlns:a16="http://schemas.microsoft.com/office/drawing/2014/main" id="{75DF759B-BD45-BA48-ADB4-8784026E53CA}"/>
            </a:ext>
          </a:extLst>
        </xdr:cNvPr>
        <xdr:cNvSpPr/>
      </xdr:nvSpPr>
      <xdr:spPr>
        <a:xfrm flipH="1">
          <a:off x="13514889870" y="16100703"/>
          <a:ext cx="336792"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41</a:t>
          </a:r>
          <a:endParaRPr lang="en-US" sz="100"/>
        </a:p>
      </xdr:txBody>
    </xdr:sp>
    <xdr:clientData/>
  </xdr:twoCellAnchor>
  <xdr:twoCellAnchor>
    <xdr:from>
      <xdr:col>11</xdr:col>
      <xdr:colOff>697699</xdr:colOff>
      <xdr:row>80</xdr:row>
      <xdr:rowOff>16073</xdr:rowOff>
    </xdr:from>
    <xdr:to>
      <xdr:col>12</xdr:col>
      <xdr:colOff>208991</xdr:colOff>
      <xdr:row>80</xdr:row>
      <xdr:rowOff>183263</xdr:rowOff>
    </xdr:to>
    <xdr:sp macro="" textlink="">
      <xdr:nvSpPr>
        <xdr:cNvPr id="59" name="Rectangle 58">
          <a:extLst>
            <a:ext uri="{FF2B5EF4-FFF2-40B4-BE49-F238E27FC236}">
              <a16:creationId xmlns:a16="http://schemas.microsoft.com/office/drawing/2014/main" id="{2CC2C480-4084-7A4C-BC45-3075D249157D}"/>
            </a:ext>
          </a:extLst>
        </xdr:cNvPr>
        <xdr:cNvSpPr/>
      </xdr:nvSpPr>
      <xdr:spPr>
        <a:xfrm flipH="1">
          <a:off x="13514877009" y="15687873"/>
          <a:ext cx="336792"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42</a:t>
          </a:r>
          <a:endParaRPr lang="en-US" sz="100"/>
        </a:p>
      </xdr:txBody>
    </xdr:sp>
    <xdr:clientData/>
  </xdr:twoCellAnchor>
  <xdr:twoCellAnchor>
    <xdr:from>
      <xdr:col>11</xdr:col>
      <xdr:colOff>807013</xdr:colOff>
      <xdr:row>67</xdr:row>
      <xdr:rowOff>73948</xdr:rowOff>
    </xdr:from>
    <xdr:to>
      <xdr:col>12</xdr:col>
      <xdr:colOff>26429</xdr:colOff>
      <xdr:row>67</xdr:row>
      <xdr:rowOff>144682</xdr:rowOff>
    </xdr:to>
    <xdr:sp macro="" textlink="">
      <xdr:nvSpPr>
        <xdr:cNvPr id="60" name="Left Arrow 59">
          <a:extLst>
            <a:ext uri="{FF2B5EF4-FFF2-40B4-BE49-F238E27FC236}">
              <a16:creationId xmlns:a16="http://schemas.microsoft.com/office/drawing/2014/main" id="{3F301533-BA8B-D34D-98C5-16E8BC80BC2B}"/>
            </a:ext>
          </a:extLst>
        </xdr:cNvPr>
        <xdr:cNvSpPr/>
      </xdr:nvSpPr>
      <xdr:spPr>
        <a:xfrm flipH="1">
          <a:off x="13515059571" y="13104148"/>
          <a:ext cx="44916" cy="70734"/>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a:p>
      </xdr:txBody>
    </xdr:sp>
    <xdr:clientData/>
  </xdr:twoCellAnchor>
  <xdr:twoCellAnchor>
    <xdr:from>
      <xdr:col>12</xdr:col>
      <xdr:colOff>160761</xdr:colOff>
      <xdr:row>72</xdr:row>
      <xdr:rowOff>73949</xdr:rowOff>
    </xdr:from>
    <xdr:to>
      <xdr:col>12</xdr:col>
      <xdr:colOff>206480</xdr:colOff>
      <xdr:row>72</xdr:row>
      <xdr:rowOff>144683</xdr:rowOff>
    </xdr:to>
    <xdr:sp macro="" textlink="">
      <xdr:nvSpPr>
        <xdr:cNvPr id="61" name="Left Arrow 60">
          <a:extLst>
            <a:ext uri="{FF2B5EF4-FFF2-40B4-BE49-F238E27FC236}">
              <a16:creationId xmlns:a16="http://schemas.microsoft.com/office/drawing/2014/main" id="{819CB5F3-250D-AC42-8D89-14019910DC1B}"/>
            </a:ext>
          </a:extLst>
        </xdr:cNvPr>
        <xdr:cNvSpPr/>
      </xdr:nvSpPr>
      <xdr:spPr>
        <a:xfrm flipH="1">
          <a:off x="13514879520" y="14120149"/>
          <a:ext cx="45719" cy="70734"/>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a:p>
      </xdr:txBody>
    </xdr:sp>
    <xdr:clientData/>
  </xdr:twoCellAnchor>
  <xdr:twoCellAnchor>
    <xdr:from>
      <xdr:col>12</xdr:col>
      <xdr:colOff>610890</xdr:colOff>
      <xdr:row>68</xdr:row>
      <xdr:rowOff>16073</xdr:rowOff>
    </xdr:from>
    <xdr:to>
      <xdr:col>13</xdr:col>
      <xdr:colOff>122181</xdr:colOff>
      <xdr:row>68</xdr:row>
      <xdr:rowOff>183263</xdr:rowOff>
    </xdr:to>
    <xdr:sp macro="" textlink="">
      <xdr:nvSpPr>
        <xdr:cNvPr id="62" name="Rectangle 61">
          <a:extLst>
            <a:ext uri="{FF2B5EF4-FFF2-40B4-BE49-F238E27FC236}">
              <a16:creationId xmlns:a16="http://schemas.microsoft.com/office/drawing/2014/main" id="{6F9A9BD1-3343-744C-B7CA-CC863C58BE29}"/>
            </a:ext>
          </a:extLst>
        </xdr:cNvPr>
        <xdr:cNvSpPr/>
      </xdr:nvSpPr>
      <xdr:spPr>
        <a:xfrm flipH="1">
          <a:off x="13514138319" y="13249473"/>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43</a:t>
          </a:r>
          <a:endParaRPr lang="en-US" sz="100"/>
        </a:p>
      </xdr:txBody>
    </xdr:sp>
    <xdr:clientData/>
  </xdr:twoCellAnchor>
  <xdr:twoCellAnchor>
    <xdr:from>
      <xdr:col>12</xdr:col>
      <xdr:colOff>620536</xdr:colOff>
      <xdr:row>70</xdr:row>
      <xdr:rowOff>32150</xdr:rowOff>
    </xdr:from>
    <xdr:to>
      <xdr:col>13</xdr:col>
      <xdr:colOff>131827</xdr:colOff>
      <xdr:row>70</xdr:row>
      <xdr:rowOff>199340</xdr:rowOff>
    </xdr:to>
    <xdr:sp macro="" textlink="">
      <xdr:nvSpPr>
        <xdr:cNvPr id="63" name="Rectangle 62">
          <a:extLst>
            <a:ext uri="{FF2B5EF4-FFF2-40B4-BE49-F238E27FC236}">
              <a16:creationId xmlns:a16="http://schemas.microsoft.com/office/drawing/2014/main" id="{1A30B5C3-113C-0543-AC55-D2FFAA14EC6F}"/>
            </a:ext>
          </a:extLst>
        </xdr:cNvPr>
        <xdr:cNvSpPr/>
      </xdr:nvSpPr>
      <xdr:spPr>
        <a:xfrm flipH="1">
          <a:off x="13514128673" y="13671950"/>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44</a:t>
          </a:r>
          <a:endParaRPr lang="en-US" sz="100"/>
        </a:p>
      </xdr:txBody>
    </xdr:sp>
    <xdr:clientData/>
  </xdr:twoCellAnchor>
  <xdr:twoCellAnchor>
    <xdr:from>
      <xdr:col>12</xdr:col>
      <xdr:colOff>614106</xdr:colOff>
      <xdr:row>82</xdr:row>
      <xdr:rowOff>19289</xdr:rowOff>
    </xdr:from>
    <xdr:to>
      <xdr:col>13</xdr:col>
      <xdr:colOff>125397</xdr:colOff>
      <xdr:row>82</xdr:row>
      <xdr:rowOff>186479</xdr:rowOff>
    </xdr:to>
    <xdr:sp macro="" textlink="">
      <xdr:nvSpPr>
        <xdr:cNvPr id="64" name="Rectangle 63">
          <a:extLst>
            <a:ext uri="{FF2B5EF4-FFF2-40B4-BE49-F238E27FC236}">
              <a16:creationId xmlns:a16="http://schemas.microsoft.com/office/drawing/2014/main" id="{AC8EEB17-E3E6-224C-BAF8-0FF0E70755E9}"/>
            </a:ext>
          </a:extLst>
        </xdr:cNvPr>
        <xdr:cNvSpPr/>
      </xdr:nvSpPr>
      <xdr:spPr>
        <a:xfrm flipH="1">
          <a:off x="13514135103" y="16097489"/>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45</a:t>
          </a:r>
          <a:endParaRPr lang="en-US" sz="100"/>
        </a:p>
      </xdr:txBody>
    </xdr:sp>
    <xdr:clientData/>
  </xdr:twoCellAnchor>
  <xdr:twoCellAnchor>
    <xdr:from>
      <xdr:col>12</xdr:col>
      <xdr:colOff>620536</xdr:colOff>
      <xdr:row>80</xdr:row>
      <xdr:rowOff>22505</xdr:rowOff>
    </xdr:from>
    <xdr:to>
      <xdr:col>13</xdr:col>
      <xdr:colOff>131827</xdr:colOff>
      <xdr:row>80</xdr:row>
      <xdr:rowOff>189695</xdr:rowOff>
    </xdr:to>
    <xdr:sp macro="" textlink="">
      <xdr:nvSpPr>
        <xdr:cNvPr id="65" name="Rectangle 64">
          <a:extLst>
            <a:ext uri="{FF2B5EF4-FFF2-40B4-BE49-F238E27FC236}">
              <a16:creationId xmlns:a16="http://schemas.microsoft.com/office/drawing/2014/main" id="{4E4794AC-0E8A-8348-AD73-A3F536BB8B32}"/>
            </a:ext>
          </a:extLst>
        </xdr:cNvPr>
        <xdr:cNvSpPr/>
      </xdr:nvSpPr>
      <xdr:spPr>
        <a:xfrm flipH="1">
          <a:off x="13514128673" y="15694305"/>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46</a:t>
          </a:r>
          <a:endParaRPr lang="en-US" sz="100"/>
        </a:p>
      </xdr:txBody>
    </xdr:sp>
    <xdr:clientData/>
  </xdr:twoCellAnchor>
  <xdr:twoCellAnchor>
    <xdr:from>
      <xdr:col>13</xdr:col>
      <xdr:colOff>639827</xdr:colOff>
      <xdr:row>70</xdr:row>
      <xdr:rowOff>19290</xdr:rowOff>
    </xdr:from>
    <xdr:to>
      <xdr:col>14</xdr:col>
      <xdr:colOff>151118</xdr:colOff>
      <xdr:row>70</xdr:row>
      <xdr:rowOff>186480</xdr:rowOff>
    </xdr:to>
    <xdr:sp macro="" textlink="">
      <xdr:nvSpPr>
        <xdr:cNvPr id="66" name="Rectangle 65">
          <a:extLst>
            <a:ext uri="{FF2B5EF4-FFF2-40B4-BE49-F238E27FC236}">
              <a16:creationId xmlns:a16="http://schemas.microsoft.com/office/drawing/2014/main" id="{CCE4ABC4-E886-D943-A65D-AF1BAE4C0170}"/>
            </a:ext>
          </a:extLst>
        </xdr:cNvPr>
        <xdr:cNvSpPr/>
      </xdr:nvSpPr>
      <xdr:spPr>
        <a:xfrm flipH="1">
          <a:off x="13513283882" y="13659090"/>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47</a:t>
          </a:r>
          <a:endParaRPr lang="en-US" sz="100"/>
        </a:p>
      </xdr:txBody>
    </xdr:sp>
    <xdr:clientData/>
  </xdr:twoCellAnchor>
  <xdr:twoCellAnchor>
    <xdr:from>
      <xdr:col>12</xdr:col>
      <xdr:colOff>745925</xdr:colOff>
      <xdr:row>72</xdr:row>
      <xdr:rowOff>67519</xdr:rowOff>
    </xdr:from>
    <xdr:to>
      <xdr:col>12</xdr:col>
      <xdr:colOff>791644</xdr:colOff>
      <xdr:row>72</xdr:row>
      <xdr:rowOff>138253</xdr:rowOff>
    </xdr:to>
    <xdr:sp macro="" textlink="">
      <xdr:nvSpPr>
        <xdr:cNvPr id="67" name="Left Arrow 66">
          <a:extLst>
            <a:ext uri="{FF2B5EF4-FFF2-40B4-BE49-F238E27FC236}">
              <a16:creationId xmlns:a16="http://schemas.microsoft.com/office/drawing/2014/main" id="{78495492-2FEB-B349-8E89-71C3C2DB238C}"/>
            </a:ext>
          </a:extLst>
        </xdr:cNvPr>
        <xdr:cNvSpPr/>
      </xdr:nvSpPr>
      <xdr:spPr>
        <a:xfrm flipH="1">
          <a:off x="13514294356" y="14113719"/>
          <a:ext cx="45719" cy="70734"/>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a:p>
      </xdr:txBody>
    </xdr:sp>
    <xdr:clientData/>
  </xdr:twoCellAnchor>
  <xdr:twoCellAnchor>
    <xdr:from>
      <xdr:col>13</xdr:col>
      <xdr:colOff>675194</xdr:colOff>
      <xdr:row>68</xdr:row>
      <xdr:rowOff>22505</xdr:rowOff>
    </xdr:from>
    <xdr:to>
      <xdr:col>14</xdr:col>
      <xdr:colOff>186485</xdr:colOff>
      <xdr:row>68</xdr:row>
      <xdr:rowOff>189695</xdr:rowOff>
    </xdr:to>
    <xdr:sp macro="" textlink="">
      <xdr:nvSpPr>
        <xdr:cNvPr id="68" name="Rectangle 67">
          <a:extLst>
            <a:ext uri="{FF2B5EF4-FFF2-40B4-BE49-F238E27FC236}">
              <a16:creationId xmlns:a16="http://schemas.microsoft.com/office/drawing/2014/main" id="{05C29323-66E1-8242-B98B-5CDDF58B1AB5}"/>
            </a:ext>
          </a:extLst>
        </xdr:cNvPr>
        <xdr:cNvSpPr/>
      </xdr:nvSpPr>
      <xdr:spPr>
        <a:xfrm flipH="1">
          <a:off x="13513248515" y="13255905"/>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48</a:t>
          </a:r>
          <a:endParaRPr lang="en-US" sz="100"/>
        </a:p>
      </xdr:txBody>
    </xdr:sp>
    <xdr:clientData/>
  </xdr:twoCellAnchor>
  <xdr:twoCellAnchor>
    <xdr:from>
      <xdr:col>13</xdr:col>
      <xdr:colOff>636612</xdr:colOff>
      <xdr:row>78</xdr:row>
      <xdr:rowOff>9645</xdr:rowOff>
    </xdr:from>
    <xdr:to>
      <xdr:col>14</xdr:col>
      <xdr:colOff>147903</xdr:colOff>
      <xdr:row>78</xdr:row>
      <xdr:rowOff>176835</xdr:rowOff>
    </xdr:to>
    <xdr:sp macro="" textlink="">
      <xdr:nvSpPr>
        <xdr:cNvPr id="69" name="Rectangle 68">
          <a:extLst>
            <a:ext uri="{FF2B5EF4-FFF2-40B4-BE49-F238E27FC236}">
              <a16:creationId xmlns:a16="http://schemas.microsoft.com/office/drawing/2014/main" id="{34C10A7E-32AD-4940-A2A5-4C922F05F268}"/>
            </a:ext>
          </a:extLst>
        </xdr:cNvPr>
        <xdr:cNvSpPr/>
      </xdr:nvSpPr>
      <xdr:spPr>
        <a:xfrm flipH="1">
          <a:off x="13513287097" y="15275045"/>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49</a:t>
          </a:r>
          <a:endParaRPr lang="en-US" sz="100"/>
        </a:p>
      </xdr:txBody>
    </xdr:sp>
    <xdr:clientData/>
  </xdr:twoCellAnchor>
  <xdr:twoCellAnchor>
    <xdr:from>
      <xdr:col>13</xdr:col>
      <xdr:colOff>655903</xdr:colOff>
      <xdr:row>80</xdr:row>
      <xdr:rowOff>6429</xdr:rowOff>
    </xdr:from>
    <xdr:to>
      <xdr:col>14</xdr:col>
      <xdr:colOff>167194</xdr:colOff>
      <xdr:row>80</xdr:row>
      <xdr:rowOff>173619</xdr:rowOff>
    </xdr:to>
    <xdr:sp macro="" textlink="">
      <xdr:nvSpPr>
        <xdr:cNvPr id="70" name="Rectangle 69">
          <a:extLst>
            <a:ext uri="{FF2B5EF4-FFF2-40B4-BE49-F238E27FC236}">
              <a16:creationId xmlns:a16="http://schemas.microsoft.com/office/drawing/2014/main" id="{267D4012-5E32-1349-9655-2D189C538F6A}"/>
            </a:ext>
          </a:extLst>
        </xdr:cNvPr>
        <xdr:cNvSpPr/>
      </xdr:nvSpPr>
      <xdr:spPr>
        <a:xfrm flipH="1">
          <a:off x="13513267806" y="15678229"/>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50</a:t>
          </a:r>
          <a:endParaRPr lang="en-US" sz="100"/>
        </a:p>
      </xdr:txBody>
    </xdr:sp>
    <xdr:clientData/>
  </xdr:twoCellAnchor>
  <xdr:twoCellAnchor>
    <xdr:from>
      <xdr:col>13</xdr:col>
      <xdr:colOff>128608</xdr:colOff>
      <xdr:row>82</xdr:row>
      <xdr:rowOff>67519</xdr:rowOff>
    </xdr:from>
    <xdr:to>
      <xdr:col>13</xdr:col>
      <xdr:colOff>174327</xdr:colOff>
      <xdr:row>82</xdr:row>
      <xdr:rowOff>138253</xdr:rowOff>
    </xdr:to>
    <xdr:sp macro="" textlink="">
      <xdr:nvSpPr>
        <xdr:cNvPr id="71" name="Left Arrow 70">
          <a:extLst>
            <a:ext uri="{FF2B5EF4-FFF2-40B4-BE49-F238E27FC236}">
              <a16:creationId xmlns:a16="http://schemas.microsoft.com/office/drawing/2014/main" id="{77224E3B-2551-6047-9D81-61BFB95A70EE}"/>
            </a:ext>
          </a:extLst>
        </xdr:cNvPr>
        <xdr:cNvSpPr/>
      </xdr:nvSpPr>
      <xdr:spPr>
        <a:xfrm flipH="1">
          <a:off x="13514086173" y="16145719"/>
          <a:ext cx="45719" cy="70734"/>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a:p>
      </xdr:txBody>
    </xdr:sp>
    <xdr:clientData/>
  </xdr:twoCellAnchor>
  <xdr:twoCellAnchor>
    <xdr:from>
      <xdr:col>14</xdr:col>
      <xdr:colOff>1</xdr:colOff>
      <xdr:row>67</xdr:row>
      <xdr:rowOff>73949</xdr:rowOff>
    </xdr:from>
    <xdr:to>
      <xdr:col>14</xdr:col>
      <xdr:colOff>45720</xdr:colOff>
      <xdr:row>67</xdr:row>
      <xdr:rowOff>144683</xdr:rowOff>
    </xdr:to>
    <xdr:sp macro="" textlink="">
      <xdr:nvSpPr>
        <xdr:cNvPr id="72" name="Left Arrow 71">
          <a:extLst>
            <a:ext uri="{FF2B5EF4-FFF2-40B4-BE49-F238E27FC236}">
              <a16:creationId xmlns:a16="http://schemas.microsoft.com/office/drawing/2014/main" id="{31498498-D9D8-ED4B-90A6-31FB997C8297}"/>
            </a:ext>
          </a:extLst>
        </xdr:cNvPr>
        <xdr:cNvSpPr/>
      </xdr:nvSpPr>
      <xdr:spPr>
        <a:xfrm flipH="1">
          <a:off x="13513389280" y="13104149"/>
          <a:ext cx="45719" cy="70734"/>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a:p>
      </xdr:txBody>
    </xdr:sp>
    <xdr:clientData/>
  </xdr:twoCellAnchor>
  <xdr:twoCellAnchor>
    <xdr:from>
      <xdr:col>14</xdr:col>
      <xdr:colOff>620536</xdr:colOff>
      <xdr:row>72</xdr:row>
      <xdr:rowOff>28935</xdr:rowOff>
    </xdr:from>
    <xdr:to>
      <xdr:col>15</xdr:col>
      <xdr:colOff>131827</xdr:colOff>
      <xdr:row>72</xdr:row>
      <xdr:rowOff>196125</xdr:rowOff>
    </xdr:to>
    <xdr:sp macro="" textlink="">
      <xdr:nvSpPr>
        <xdr:cNvPr id="73" name="Rectangle 72">
          <a:extLst>
            <a:ext uri="{FF2B5EF4-FFF2-40B4-BE49-F238E27FC236}">
              <a16:creationId xmlns:a16="http://schemas.microsoft.com/office/drawing/2014/main" id="{6CD22F3D-A7E7-6A45-9722-D2FEAC3B0B8A}"/>
            </a:ext>
          </a:extLst>
        </xdr:cNvPr>
        <xdr:cNvSpPr/>
      </xdr:nvSpPr>
      <xdr:spPr>
        <a:xfrm flipH="1">
          <a:off x="13512477673" y="14075135"/>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51</a:t>
          </a:r>
          <a:endParaRPr lang="en-US" sz="100"/>
        </a:p>
      </xdr:txBody>
    </xdr:sp>
    <xdr:clientData/>
  </xdr:twoCellAnchor>
  <xdr:twoCellAnchor>
    <xdr:from>
      <xdr:col>14</xdr:col>
      <xdr:colOff>639827</xdr:colOff>
      <xdr:row>68</xdr:row>
      <xdr:rowOff>28935</xdr:rowOff>
    </xdr:from>
    <xdr:to>
      <xdr:col>15</xdr:col>
      <xdr:colOff>151118</xdr:colOff>
      <xdr:row>68</xdr:row>
      <xdr:rowOff>196125</xdr:rowOff>
    </xdr:to>
    <xdr:sp macro="" textlink="">
      <xdr:nvSpPr>
        <xdr:cNvPr id="74" name="Rectangle 73">
          <a:extLst>
            <a:ext uri="{FF2B5EF4-FFF2-40B4-BE49-F238E27FC236}">
              <a16:creationId xmlns:a16="http://schemas.microsoft.com/office/drawing/2014/main" id="{60F16EF4-A172-AF42-8BCD-A18E5C9856B4}"/>
            </a:ext>
          </a:extLst>
        </xdr:cNvPr>
        <xdr:cNvSpPr/>
      </xdr:nvSpPr>
      <xdr:spPr>
        <a:xfrm flipH="1">
          <a:off x="13512458382" y="13262335"/>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52</a:t>
          </a:r>
          <a:endParaRPr lang="en-US" sz="100"/>
        </a:p>
      </xdr:txBody>
    </xdr:sp>
    <xdr:clientData/>
  </xdr:twoCellAnchor>
  <xdr:twoCellAnchor>
    <xdr:from>
      <xdr:col>14</xdr:col>
      <xdr:colOff>630182</xdr:colOff>
      <xdr:row>70</xdr:row>
      <xdr:rowOff>12860</xdr:rowOff>
    </xdr:from>
    <xdr:to>
      <xdr:col>15</xdr:col>
      <xdr:colOff>141473</xdr:colOff>
      <xdr:row>70</xdr:row>
      <xdr:rowOff>180050</xdr:rowOff>
    </xdr:to>
    <xdr:sp macro="" textlink="">
      <xdr:nvSpPr>
        <xdr:cNvPr id="75" name="Rectangle 74">
          <a:extLst>
            <a:ext uri="{FF2B5EF4-FFF2-40B4-BE49-F238E27FC236}">
              <a16:creationId xmlns:a16="http://schemas.microsoft.com/office/drawing/2014/main" id="{FF3E51D0-6E92-D043-B1FB-8B02ACE8C667}"/>
            </a:ext>
          </a:extLst>
        </xdr:cNvPr>
        <xdr:cNvSpPr/>
      </xdr:nvSpPr>
      <xdr:spPr>
        <a:xfrm flipH="1">
          <a:off x="13512468027" y="13652660"/>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53</a:t>
          </a:r>
          <a:endParaRPr lang="en-US" sz="100"/>
        </a:p>
      </xdr:txBody>
    </xdr:sp>
    <xdr:clientData/>
  </xdr:twoCellAnchor>
  <xdr:twoCellAnchor>
    <xdr:from>
      <xdr:col>14</xdr:col>
      <xdr:colOff>598030</xdr:colOff>
      <xdr:row>82</xdr:row>
      <xdr:rowOff>16074</xdr:rowOff>
    </xdr:from>
    <xdr:to>
      <xdr:col>15</xdr:col>
      <xdr:colOff>109321</xdr:colOff>
      <xdr:row>82</xdr:row>
      <xdr:rowOff>183264</xdr:rowOff>
    </xdr:to>
    <xdr:sp macro="" textlink="">
      <xdr:nvSpPr>
        <xdr:cNvPr id="76" name="Rectangle 75">
          <a:extLst>
            <a:ext uri="{FF2B5EF4-FFF2-40B4-BE49-F238E27FC236}">
              <a16:creationId xmlns:a16="http://schemas.microsoft.com/office/drawing/2014/main" id="{0C777353-AE5C-C74D-9969-F60D600F77E2}"/>
            </a:ext>
          </a:extLst>
        </xdr:cNvPr>
        <xdr:cNvSpPr/>
      </xdr:nvSpPr>
      <xdr:spPr>
        <a:xfrm flipH="1">
          <a:off x="13512500179" y="16094274"/>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54</a:t>
          </a:r>
          <a:endParaRPr lang="en-US" sz="100"/>
        </a:p>
      </xdr:txBody>
    </xdr:sp>
    <xdr:clientData/>
  </xdr:twoCellAnchor>
  <xdr:twoCellAnchor>
    <xdr:from>
      <xdr:col>14</xdr:col>
      <xdr:colOff>607676</xdr:colOff>
      <xdr:row>80</xdr:row>
      <xdr:rowOff>19289</xdr:rowOff>
    </xdr:from>
    <xdr:to>
      <xdr:col>15</xdr:col>
      <xdr:colOff>118967</xdr:colOff>
      <xdr:row>80</xdr:row>
      <xdr:rowOff>186479</xdr:rowOff>
    </xdr:to>
    <xdr:sp macro="" textlink="">
      <xdr:nvSpPr>
        <xdr:cNvPr id="77" name="Rectangle 76">
          <a:extLst>
            <a:ext uri="{FF2B5EF4-FFF2-40B4-BE49-F238E27FC236}">
              <a16:creationId xmlns:a16="http://schemas.microsoft.com/office/drawing/2014/main" id="{AC46A26B-2115-774E-A1FB-1CE9C87A6C9A}"/>
            </a:ext>
          </a:extLst>
        </xdr:cNvPr>
        <xdr:cNvSpPr/>
      </xdr:nvSpPr>
      <xdr:spPr>
        <a:xfrm flipH="1">
          <a:off x="13512490533" y="15691089"/>
          <a:ext cx="336791" cy="1671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rtl="1"/>
          <a:r>
            <a:rPr lang="he-IL" sz="1050"/>
            <a:t>55</a:t>
          </a:r>
          <a:endParaRPr lang="en-US" sz="100"/>
        </a:p>
      </xdr:txBody>
    </xdr:sp>
    <xdr:clientData/>
  </xdr:twoCellAnchor>
  <xdr:twoCellAnchor>
    <xdr:from>
      <xdr:col>15</xdr:col>
      <xdr:colOff>141469</xdr:colOff>
      <xdr:row>72</xdr:row>
      <xdr:rowOff>77165</xdr:rowOff>
    </xdr:from>
    <xdr:to>
      <xdr:col>15</xdr:col>
      <xdr:colOff>187188</xdr:colOff>
      <xdr:row>72</xdr:row>
      <xdr:rowOff>147899</xdr:rowOff>
    </xdr:to>
    <xdr:sp macro="" textlink="">
      <xdr:nvSpPr>
        <xdr:cNvPr id="78" name="Left Arrow 77">
          <a:extLst>
            <a:ext uri="{FF2B5EF4-FFF2-40B4-BE49-F238E27FC236}">
              <a16:creationId xmlns:a16="http://schemas.microsoft.com/office/drawing/2014/main" id="{393D6579-564D-454B-AB33-527E528F9BA4}"/>
            </a:ext>
          </a:extLst>
        </xdr:cNvPr>
        <xdr:cNvSpPr/>
      </xdr:nvSpPr>
      <xdr:spPr>
        <a:xfrm flipH="1">
          <a:off x="13512422312" y="14123365"/>
          <a:ext cx="45719" cy="70734"/>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a:p>
      </xdr:txBody>
    </xdr:sp>
    <xdr:clientData/>
  </xdr:twoCellAnchor>
  <xdr:twoCellAnchor editAs="oneCell">
    <xdr:from>
      <xdr:col>5</xdr:col>
      <xdr:colOff>122155</xdr:colOff>
      <xdr:row>87</xdr:row>
      <xdr:rowOff>47413</xdr:rowOff>
    </xdr:from>
    <xdr:to>
      <xdr:col>8</xdr:col>
      <xdr:colOff>5926</xdr:colOff>
      <xdr:row>98</xdr:row>
      <xdr:rowOff>172718</xdr:rowOff>
    </xdr:to>
    <xdr:pic>
      <xdr:nvPicPr>
        <xdr:cNvPr id="79" name="Picture 78" descr="A 20-year-old student who looks younger than her age, with brown hair and round eyes, wearing earrings, a brown tank top, and blue jeans. She is studying financial accounting while eating many hot dogs. She is sitting at a desk with books and a laptop, surrounded by hot dog wrappers.">
          <a:extLst>
            <a:ext uri="{FF2B5EF4-FFF2-40B4-BE49-F238E27FC236}">
              <a16:creationId xmlns:a16="http://schemas.microsoft.com/office/drawing/2014/main" id="{1B2A9EC7-5473-8E49-801E-4DD1C38AEC8C}"/>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3518382074" y="64944413"/>
          <a:ext cx="2360271" cy="23605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36030</xdr:colOff>
      <xdr:row>87</xdr:row>
      <xdr:rowOff>61839</xdr:rowOff>
    </xdr:from>
    <xdr:to>
      <xdr:col>11</xdr:col>
      <xdr:colOff>590236</xdr:colOff>
      <xdr:row>98</xdr:row>
      <xdr:rowOff>32649</xdr:rowOff>
    </xdr:to>
    <xdr:pic>
      <xdr:nvPicPr>
        <xdr:cNvPr id="80" name="Picture 79" descr="A very happy 20-year-old student who looks younger than her age, with brown hair and round eyes, wearing a brown tank top and blue jeans. She is celebrating her success in an accounting exercise. She is surrounded by many hot dogs, making the scene funnier. She is sitting at a desk with books and a laptop, with hot dog wrappers everywhere. Her facial expression shows extreme joy and excitement.">
          <a:extLst>
            <a:ext uri="{FF2B5EF4-FFF2-40B4-BE49-F238E27FC236}">
              <a16:creationId xmlns:a16="http://schemas.microsoft.com/office/drawing/2014/main" id="{52CBB8D0-E690-6241-AB16-6BB52CD2F7E6}"/>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3515321264" y="64958839"/>
          <a:ext cx="2205206" cy="22060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117092</xdr:colOff>
      <xdr:row>92</xdr:row>
      <xdr:rowOff>13511</xdr:rowOff>
    </xdr:from>
    <xdr:to>
      <xdr:col>8</xdr:col>
      <xdr:colOff>680036</xdr:colOff>
      <xdr:row>93</xdr:row>
      <xdr:rowOff>121595</xdr:rowOff>
    </xdr:to>
    <xdr:sp macro="" textlink="">
      <xdr:nvSpPr>
        <xdr:cNvPr id="81" name="Left Arrow 80">
          <a:extLst>
            <a:ext uri="{FF2B5EF4-FFF2-40B4-BE49-F238E27FC236}">
              <a16:creationId xmlns:a16="http://schemas.microsoft.com/office/drawing/2014/main" id="{52724EB0-C931-A74B-90F2-477DBEAEC752}"/>
            </a:ext>
          </a:extLst>
        </xdr:cNvPr>
        <xdr:cNvSpPr/>
      </xdr:nvSpPr>
      <xdr:spPr>
        <a:xfrm flipH="1">
          <a:off x="13517707964" y="18123711"/>
          <a:ext cx="562944" cy="311284"/>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11</xdr:row>
      <xdr:rowOff>157339</xdr:rowOff>
    </xdr:from>
    <xdr:to>
      <xdr:col>6</xdr:col>
      <xdr:colOff>93125</xdr:colOff>
      <xdr:row>15</xdr:row>
      <xdr:rowOff>153680</xdr:rowOff>
    </xdr:to>
    <xdr:pic>
      <xdr:nvPicPr>
        <xdr:cNvPr id="2" name="Picture 1">
          <a:extLst>
            <a:ext uri="{FF2B5EF4-FFF2-40B4-BE49-F238E27FC236}">
              <a16:creationId xmlns:a16="http://schemas.microsoft.com/office/drawing/2014/main" id="{CADE30A9-37A5-CC82-5434-4C63F3DE6AD2}"/>
            </a:ext>
          </a:extLst>
        </xdr:cNvPr>
        <xdr:cNvPicPr>
          <a:picLocks noChangeAspect="1"/>
        </xdr:cNvPicPr>
      </xdr:nvPicPr>
      <xdr:blipFill>
        <a:blip xmlns:r="http://schemas.openxmlformats.org/officeDocument/2006/relationships" r:embed="rId1"/>
        <a:stretch>
          <a:fillRect/>
        </a:stretch>
      </xdr:blipFill>
      <xdr:spPr>
        <a:xfrm>
          <a:off x="13519945875" y="2379839"/>
          <a:ext cx="5046125" cy="804523"/>
        </a:xfrm>
        <a:prstGeom prst="rect">
          <a:avLst/>
        </a:prstGeom>
      </xdr:spPr>
    </xdr:pic>
    <xdr:clientData/>
  </xdr:twoCellAnchor>
  <xdr:twoCellAnchor>
    <xdr:from>
      <xdr:col>3</xdr:col>
      <xdr:colOff>490859</xdr:colOff>
      <xdr:row>125</xdr:row>
      <xdr:rowOff>105184</xdr:rowOff>
    </xdr:from>
    <xdr:to>
      <xdr:col>3</xdr:col>
      <xdr:colOff>790828</xdr:colOff>
      <xdr:row>125</xdr:row>
      <xdr:rowOff>109080</xdr:rowOff>
    </xdr:to>
    <xdr:cxnSp macro="">
      <xdr:nvCxnSpPr>
        <xdr:cNvPr id="3" name="Straight Arrow Connector 2">
          <a:extLst>
            <a:ext uri="{FF2B5EF4-FFF2-40B4-BE49-F238E27FC236}">
              <a16:creationId xmlns:a16="http://schemas.microsoft.com/office/drawing/2014/main" id="{A6291482-DDA7-B544-AD12-1A4D6C80E439}"/>
            </a:ext>
          </a:extLst>
        </xdr:cNvPr>
        <xdr:cNvCxnSpPr/>
      </xdr:nvCxnSpPr>
      <xdr:spPr>
        <a:xfrm flipH="1" flipV="1">
          <a:off x="13514320572" y="44288484"/>
          <a:ext cx="299969" cy="389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751871</xdr:colOff>
      <xdr:row>125</xdr:row>
      <xdr:rowOff>175307</xdr:rowOff>
    </xdr:from>
    <xdr:to>
      <xdr:col>3</xdr:col>
      <xdr:colOff>755767</xdr:colOff>
      <xdr:row>127</xdr:row>
      <xdr:rowOff>128558</xdr:rowOff>
    </xdr:to>
    <xdr:cxnSp macro="">
      <xdr:nvCxnSpPr>
        <xdr:cNvPr id="4" name="Straight Arrow Connector 3">
          <a:extLst>
            <a:ext uri="{FF2B5EF4-FFF2-40B4-BE49-F238E27FC236}">
              <a16:creationId xmlns:a16="http://schemas.microsoft.com/office/drawing/2014/main" id="{1121078B-7190-1741-8CD4-8D07FB7F786E}"/>
            </a:ext>
          </a:extLst>
        </xdr:cNvPr>
        <xdr:cNvCxnSpPr/>
      </xdr:nvCxnSpPr>
      <xdr:spPr>
        <a:xfrm flipH="1">
          <a:off x="13514355633" y="44358607"/>
          <a:ext cx="3896" cy="35965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479172</xdr:colOff>
      <xdr:row>124</xdr:row>
      <xdr:rowOff>120766</xdr:rowOff>
    </xdr:from>
    <xdr:to>
      <xdr:col>5</xdr:col>
      <xdr:colOff>779141</xdr:colOff>
      <xdr:row>124</xdr:row>
      <xdr:rowOff>124662</xdr:rowOff>
    </xdr:to>
    <xdr:cxnSp macro="">
      <xdr:nvCxnSpPr>
        <xdr:cNvPr id="5" name="Straight Arrow Connector 4">
          <a:extLst>
            <a:ext uri="{FF2B5EF4-FFF2-40B4-BE49-F238E27FC236}">
              <a16:creationId xmlns:a16="http://schemas.microsoft.com/office/drawing/2014/main" id="{45F72B8A-73DC-B340-A815-9E28F23DE144}"/>
            </a:ext>
          </a:extLst>
        </xdr:cNvPr>
        <xdr:cNvCxnSpPr/>
      </xdr:nvCxnSpPr>
      <xdr:spPr>
        <a:xfrm flipH="1" flipV="1">
          <a:off x="13512655859" y="44100866"/>
          <a:ext cx="299969" cy="389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775245</xdr:colOff>
      <xdr:row>124</xdr:row>
      <xdr:rowOff>163619</xdr:rowOff>
    </xdr:from>
    <xdr:to>
      <xdr:col>5</xdr:col>
      <xdr:colOff>779141</xdr:colOff>
      <xdr:row>128</xdr:row>
      <xdr:rowOff>81810</xdr:rowOff>
    </xdr:to>
    <xdr:cxnSp macro="">
      <xdr:nvCxnSpPr>
        <xdr:cNvPr id="6" name="Straight Arrow Connector 5">
          <a:extLst>
            <a:ext uri="{FF2B5EF4-FFF2-40B4-BE49-F238E27FC236}">
              <a16:creationId xmlns:a16="http://schemas.microsoft.com/office/drawing/2014/main" id="{C7341E2D-9C70-FB43-9DFC-D7D2688992A0}"/>
            </a:ext>
          </a:extLst>
        </xdr:cNvPr>
        <xdr:cNvCxnSpPr/>
      </xdr:nvCxnSpPr>
      <xdr:spPr>
        <a:xfrm flipH="1">
          <a:off x="13512655859" y="44143719"/>
          <a:ext cx="3896" cy="73099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431800</xdr:colOff>
      <xdr:row>143</xdr:row>
      <xdr:rowOff>120650</xdr:rowOff>
    </xdr:from>
    <xdr:to>
      <xdr:col>15</xdr:col>
      <xdr:colOff>0</xdr:colOff>
      <xdr:row>143</xdr:row>
      <xdr:rowOff>127000</xdr:rowOff>
    </xdr:to>
    <xdr:cxnSp macro="">
      <xdr:nvCxnSpPr>
        <xdr:cNvPr id="8" name="Straight Arrow Connector 7">
          <a:extLst>
            <a:ext uri="{FF2B5EF4-FFF2-40B4-BE49-F238E27FC236}">
              <a16:creationId xmlns:a16="http://schemas.microsoft.com/office/drawing/2014/main" id="{BD4CBB6E-9F95-F3DC-FD69-39EF6B30A9F4}"/>
            </a:ext>
          </a:extLst>
        </xdr:cNvPr>
        <xdr:cNvCxnSpPr/>
      </xdr:nvCxnSpPr>
      <xdr:spPr>
        <a:xfrm flipH="1">
          <a:off x="13512609500" y="29254450"/>
          <a:ext cx="393700" cy="635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15</xdr:col>
      <xdr:colOff>12700</xdr:colOff>
      <xdr:row>143</xdr:row>
      <xdr:rowOff>171450</xdr:rowOff>
    </xdr:from>
    <xdr:to>
      <xdr:col>15</xdr:col>
      <xdr:colOff>19050</xdr:colOff>
      <xdr:row>147</xdr:row>
      <xdr:rowOff>95250</xdr:rowOff>
    </xdr:to>
    <xdr:cxnSp macro="">
      <xdr:nvCxnSpPr>
        <xdr:cNvPr id="9" name="Straight Arrow Connector 8">
          <a:extLst>
            <a:ext uri="{FF2B5EF4-FFF2-40B4-BE49-F238E27FC236}">
              <a16:creationId xmlns:a16="http://schemas.microsoft.com/office/drawing/2014/main" id="{580C474A-1109-B07F-54B2-67A6D802DC28}"/>
            </a:ext>
          </a:extLst>
        </xdr:cNvPr>
        <xdr:cNvCxnSpPr/>
      </xdr:nvCxnSpPr>
      <xdr:spPr>
        <a:xfrm flipH="1">
          <a:off x="13512590450" y="29305250"/>
          <a:ext cx="6350" cy="73660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wsDr>
</file>

<file path=xl/drawings/drawing7.xml><?xml version="1.0" encoding="utf-8"?>
<xdr:wsDr xmlns:xdr="http://schemas.openxmlformats.org/drawingml/2006/spreadsheetDrawing" xmlns:a="http://schemas.openxmlformats.org/drawingml/2006/main">
  <xdr:twoCellAnchor editAs="oneCell">
    <xdr:from>
      <xdr:col>33</xdr:col>
      <xdr:colOff>330199</xdr:colOff>
      <xdr:row>5</xdr:row>
      <xdr:rowOff>16933</xdr:rowOff>
    </xdr:from>
    <xdr:to>
      <xdr:col>35</xdr:col>
      <xdr:colOff>613832</xdr:colOff>
      <xdr:row>16</xdr:row>
      <xdr:rowOff>42333</xdr:rowOff>
    </xdr:to>
    <xdr:pic>
      <xdr:nvPicPr>
        <xdr:cNvPr id="2" name="Picture 1">
          <a:extLst>
            <a:ext uri="{FF2B5EF4-FFF2-40B4-BE49-F238E27FC236}">
              <a16:creationId xmlns:a16="http://schemas.microsoft.com/office/drawing/2014/main" id="{3CD8A1F8-9EC4-FBC0-B2C6-78D1E2E6830D}"/>
            </a:ext>
          </a:extLst>
        </xdr:cNvPr>
        <xdr:cNvPicPr>
          <a:picLocks noChangeAspect="1"/>
        </xdr:cNvPicPr>
      </xdr:nvPicPr>
      <xdr:blipFill>
        <a:blip xmlns:r="http://schemas.openxmlformats.org/officeDocument/2006/relationships" r:embed="rId1"/>
        <a:stretch>
          <a:fillRect/>
        </a:stretch>
      </xdr:blipFill>
      <xdr:spPr>
        <a:xfrm>
          <a:off x="13564696434" y="1032933"/>
          <a:ext cx="1943100" cy="2260600"/>
        </a:xfrm>
        <a:prstGeom prst="rect">
          <a:avLst/>
        </a:prstGeom>
      </xdr:spPr>
    </xdr:pic>
    <xdr:clientData/>
  </xdr:twoCellAnchor>
  <xdr:twoCellAnchor>
    <xdr:from>
      <xdr:col>10</xdr:col>
      <xdr:colOff>714375</xdr:colOff>
      <xdr:row>79</xdr:row>
      <xdr:rowOff>127000</xdr:rowOff>
    </xdr:from>
    <xdr:to>
      <xdr:col>11</xdr:col>
      <xdr:colOff>79375</xdr:colOff>
      <xdr:row>82</xdr:row>
      <xdr:rowOff>95250</xdr:rowOff>
    </xdr:to>
    <xdr:cxnSp macro="">
      <xdr:nvCxnSpPr>
        <xdr:cNvPr id="6" name="Straight Arrow Connector 5">
          <a:extLst>
            <a:ext uri="{FF2B5EF4-FFF2-40B4-BE49-F238E27FC236}">
              <a16:creationId xmlns:a16="http://schemas.microsoft.com/office/drawing/2014/main" id="{EFD1ABB8-9F84-6264-FB58-C96BE83CFAB0}"/>
            </a:ext>
          </a:extLst>
        </xdr:cNvPr>
        <xdr:cNvCxnSpPr/>
      </xdr:nvCxnSpPr>
      <xdr:spPr>
        <a:xfrm flipH="1" flipV="1">
          <a:off x="13515855938" y="16017875"/>
          <a:ext cx="190500" cy="58737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10</xdr:col>
      <xdr:colOff>666750</xdr:colOff>
      <xdr:row>85</xdr:row>
      <xdr:rowOff>134937</xdr:rowOff>
    </xdr:from>
    <xdr:to>
      <xdr:col>11</xdr:col>
      <xdr:colOff>31750</xdr:colOff>
      <xdr:row>88</xdr:row>
      <xdr:rowOff>103187</xdr:rowOff>
    </xdr:to>
    <xdr:cxnSp macro="">
      <xdr:nvCxnSpPr>
        <xdr:cNvPr id="7" name="Straight Arrow Connector 6">
          <a:extLst>
            <a:ext uri="{FF2B5EF4-FFF2-40B4-BE49-F238E27FC236}">
              <a16:creationId xmlns:a16="http://schemas.microsoft.com/office/drawing/2014/main" id="{E24B7A56-0EB9-29AE-5BAF-751D4DE279AB}"/>
            </a:ext>
          </a:extLst>
        </xdr:cNvPr>
        <xdr:cNvCxnSpPr/>
      </xdr:nvCxnSpPr>
      <xdr:spPr>
        <a:xfrm flipH="1" flipV="1">
          <a:off x="13515903563" y="17264062"/>
          <a:ext cx="190500" cy="58737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11</xdr:col>
      <xdr:colOff>730250</xdr:colOff>
      <xdr:row>85</xdr:row>
      <xdr:rowOff>87312</xdr:rowOff>
    </xdr:from>
    <xdr:to>
      <xdr:col>12</xdr:col>
      <xdr:colOff>47625</xdr:colOff>
      <xdr:row>88</xdr:row>
      <xdr:rowOff>55562</xdr:rowOff>
    </xdr:to>
    <xdr:cxnSp macro="">
      <xdr:nvCxnSpPr>
        <xdr:cNvPr id="8" name="Straight Arrow Connector 7">
          <a:extLst>
            <a:ext uri="{FF2B5EF4-FFF2-40B4-BE49-F238E27FC236}">
              <a16:creationId xmlns:a16="http://schemas.microsoft.com/office/drawing/2014/main" id="{6877F699-C908-D480-68EA-A0D66E07DE43}"/>
            </a:ext>
          </a:extLst>
        </xdr:cNvPr>
        <xdr:cNvCxnSpPr/>
      </xdr:nvCxnSpPr>
      <xdr:spPr>
        <a:xfrm flipH="1" flipV="1">
          <a:off x="13515038375" y="17216437"/>
          <a:ext cx="190500" cy="58737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wsDr>
</file>

<file path=xl/drawings/drawing8.xml><?xml version="1.0" encoding="utf-8"?>
<xdr:wsDr xmlns:xdr="http://schemas.openxmlformats.org/drawingml/2006/spreadsheetDrawing" xmlns:a="http://schemas.openxmlformats.org/drawingml/2006/main">
  <xdr:twoCellAnchor>
    <xdr:from>
      <xdr:col>6</xdr:col>
      <xdr:colOff>3628</xdr:colOff>
      <xdr:row>38</xdr:row>
      <xdr:rowOff>29029</xdr:rowOff>
    </xdr:from>
    <xdr:to>
      <xdr:col>6</xdr:col>
      <xdr:colOff>188685</xdr:colOff>
      <xdr:row>39</xdr:row>
      <xdr:rowOff>10886</xdr:rowOff>
    </xdr:to>
    <xdr:sp macro="" textlink="">
      <xdr:nvSpPr>
        <xdr:cNvPr id="2" name="Rectangle 1">
          <a:extLst>
            <a:ext uri="{FF2B5EF4-FFF2-40B4-BE49-F238E27FC236}">
              <a16:creationId xmlns:a16="http://schemas.microsoft.com/office/drawing/2014/main" id="{C54CE819-4EFE-2C43-A02E-59F0508AE611}"/>
            </a:ext>
          </a:extLst>
        </xdr:cNvPr>
        <xdr:cNvSpPr/>
      </xdr:nvSpPr>
      <xdr:spPr>
        <a:xfrm>
          <a:off x="13519850315" y="7166429"/>
          <a:ext cx="185057" cy="185057"/>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6</xdr:col>
      <xdr:colOff>4704</xdr:colOff>
      <xdr:row>41</xdr:row>
      <xdr:rowOff>18142</xdr:rowOff>
    </xdr:from>
    <xdr:to>
      <xdr:col>6</xdr:col>
      <xdr:colOff>181428</xdr:colOff>
      <xdr:row>42</xdr:row>
      <xdr:rowOff>14110</xdr:rowOff>
    </xdr:to>
    <xdr:sp macro="" textlink="">
      <xdr:nvSpPr>
        <xdr:cNvPr id="3" name="Rectangle 2">
          <a:extLst>
            <a:ext uri="{FF2B5EF4-FFF2-40B4-BE49-F238E27FC236}">
              <a16:creationId xmlns:a16="http://schemas.microsoft.com/office/drawing/2014/main" id="{3FD8FFB1-AF9C-EA41-964C-8FE9F67CE6CB}"/>
            </a:ext>
          </a:extLst>
        </xdr:cNvPr>
        <xdr:cNvSpPr/>
      </xdr:nvSpPr>
      <xdr:spPr>
        <a:xfrm>
          <a:off x="13558376202" y="8545957"/>
          <a:ext cx="176724" cy="198227"/>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6</xdr:col>
      <xdr:colOff>7257</xdr:colOff>
      <xdr:row>39</xdr:row>
      <xdr:rowOff>39914</xdr:rowOff>
    </xdr:from>
    <xdr:to>
      <xdr:col>6</xdr:col>
      <xdr:colOff>192314</xdr:colOff>
      <xdr:row>40</xdr:row>
      <xdr:rowOff>21771</xdr:rowOff>
    </xdr:to>
    <xdr:sp macro="" textlink="">
      <xdr:nvSpPr>
        <xdr:cNvPr id="4" name="Rectangle 3">
          <a:extLst>
            <a:ext uri="{FF2B5EF4-FFF2-40B4-BE49-F238E27FC236}">
              <a16:creationId xmlns:a16="http://schemas.microsoft.com/office/drawing/2014/main" id="{B59E3172-CA59-3547-B921-28CE03A91633}"/>
            </a:ext>
          </a:extLst>
        </xdr:cNvPr>
        <xdr:cNvSpPr/>
      </xdr:nvSpPr>
      <xdr:spPr>
        <a:xfrm>
          <a:off x="13519846686" y="7380514"/>
          <a:ext cx="185057" cy="185057"/>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3</a:t>
          </a:r>
        </a:p>
      </xdr:txBody>
    </xdr:sp>
    <xdr:clientData/>
  </xdr:twoCellAnchor>
  <xdr:twoCellAnchor>
    <xdr:from>
      <xdr:col>6</xdr:col>
      <xdr:colOff>3628</xdr:colOff>
      <xdr:row>40</xdr:row>
      <xdr:rowOff>25399</xdr:rowOff>
    </xdr:from>
    <xdr:to>
      <xdr:col>6</xdr:col>
      <xdr:colOff>188685</xdr:colOff>
      <xdr:row>41</xdr:row>
      <xdr:rowOff>7256</xdr:rowOff>
    </xdr:to>
    <xdr:sp macro="" textlink="">
      <xdr:nvSpPr>
        <xdr:cNvPr id="5" name="Rectangle 4">
          <a:extLst>
            <a:ext uri="{FF2B5EF4-FFF2-40B4-BE49-F238E27FC236}">
              <a16:creationId xmlns:a16="http://schemas.microsoft.com/office/drawing/2014/main" id="{C0C61B42-C132-4E4A-A492-4F141B90075E}"/>
            </a:ext>
          </a:extLst>
        </xdr:cNvPr>
        <xdr:cNvSpPr/>
      </xdr:nvSpPr>
      <xdr:spPr>
        <a:xfrm>
          <a:off x="13519850315" y="7569199"/>
          <a:ext cx="185057" cy="185057"/>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ctr"/>
        <a:lstStyle/>
        <a:p>
          <a:pPr algn="ctr" rtl="1"/>
          <a:r>
            <a:rPr lang="en-US" sz="1100"/>
            <a:t>4</a:t>
          </a:r>
        </a:p>
      </xdr:txBody>
    </xdr:sp>
    <xdr:clientData/>
  </xdr:twoCellAnchor>
  <xdr:twoCellAnchor>
    <xdr:from>
      <xdr:col>5</xdr:col>
      <xdr:colOff>3628</xdr:colOff>
      <xdr:row>65</xdr:row>
      <xdr:rowOff>29029</xdr:rowOff>
    </xdr:from>
    <xdr:to>
      <xdr:col>5</xdr:col>
      <xdr:colOff>188685</xdr:colOff>
      <xdr:row>66</xdr:row>
      <xdr:rowOff>10886</xdr:rowOff>
    </xdr:to>
    <xdr:sp macro="" textlink="">
      <xdr:nvSpPr>
        <xdr:cNvPr id="6" name="Rectangle 5">
          <a:extLst>
            <a:ext uri="{FF2B5EF4-FFF2-40B4-BE49-F238E27FC236}">
              <a16:creationId xmlns:a16="http://schemas.microsoft.com/office/drawing/2014/main" id="{3B627D30-D9BB-AF40-8141-BEEBEAFE6740}"/>
            </a:ext>
          </a:extLst>
        </xdr:cNvPr>
        <xdr:cNvSpPr/>
      </xdr:nvSpPr>
      <xdr:spPr>
        <a:xfrm>
          <a:off x="13520739315" y="12652829"/>
          <a:ext cx="185057" cy="185057"/>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4</xdr:col>
      <xdr:colOff>823686</xdr:colOff>
      <xdr:row>68</xdr:row>
      <xdr:rowOff>18143</xdr:rowOff>
    </xdr:from>
    <xdr:to>
      <xdr:col>5</xdr:col>
      <xdr:colOff>181428</xdr:colOff>
      <xdr:row>69</xdr:row>
      <xdr:rowOff>0</xdr:rowOff>
    </xdr:to>
    <xdr:sp macro="" textlink="">
      <xdr:nvSpPr>
        <xdr:cNvPr id="7" name="Rectangle 6">
          <a:extLst>
            <a:ext uri="{FF2B5EF4-FFF2-40B4-BE49-F238E27FC236}">
              <a16:creationId xmlns:a16="http://schemas.microsoft.com/office/drawing/2014/main" id="{73DB0454-5550-6045-9442-34E48ABD3C4F}"/>
            </a:ext>
          </a:extLst>
        </xdr:cNvPr>
        <xdr:cNvSpPr/>
      </xdr:nvSpPr>
      <xdr:spPr>
        <a:xfrm>
          <a:off x="13520746572" y="13251543"/>
          <a:ext cx="246742" cy="185057"/>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5</xdr:col>
      <xdr:colOff>7257</xdr:colOff>
      <xdr:row>66</xdr:row>
      <xdr:rowOff>39914</xdr:rowOff>
    </xdr:from>
    <xdr:to>
      <xdr:col>5</xdr:col>
      <xdr:colOff>192314</xdr:colOff>
      <xdr:row>67</xdr:row>
      <xdr:rowOff>21771</xdr:rowOff>
    </xdr:to>
    <xdr:sp macro="" textlink="">
      <xdr:nvSpPr>
        <xdr:cNvPr id="8" name="Rectangle 7">
          <a:extLst>
            <a:ext uri="{FF2B5EF4-FFF2-40B4-BE49-F238E27FC236}">
              <a16:creationId xmlns:a16="http://schemas.microsoft.com/office/drawing/2014/main" id="{8487978B-A571-BB4A-8D79-D45C4002118F}"/>
            </a:ext>
          </a:extLst>
        </xdr:cNvPr>
        <xdr:cNvSpPr/>
      </xdr:nvSpPr>
      <xdr:spPr>
        <a:xfrm>
          <a:off x="13520735686" y="12866914"/>
          <a:ext cx="185057" cy="185057"/>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3</a:t>
          </a:r>
        </a:p>
      </xdr:txBody>
    </xdr:sp>
    <xdr:clientData/>
  </xdr:twoCellAnchor>
  <xdr:twoCellAnchor>
    <xdr:from>
      <xdr:col>5</xdr:col>
      <xdr:colOff>3628</xdr:colOff>
      <xdr:row>67</xdr:row>
      <xdr:rowOff>25399</xdr:rowOff>
    </xdr:from>
    <xdr:to>
      <xdr:col>5</xdr:col>
      <xdr:colOff>188685</xdr:colOff>
      <xdr:row>68</xdr:row>
      <xdr:rowOff>7256</xdr:rowOff>
    </xdr:to>
    <xdr:sp macro="" textlink="">
      <xdr:nvSpPr>
        <xdr:cNvPr id="9" name="Rectangle 8">
          <a:extLst>
            <a:ext uri="{FF2B5EF4-FFF2-40B4-BE49-F238E27FC236}">
              <a16:creationId xmlns:a16="http://schemas.microsoft.com/office/drawing/2014/main" id="{898D3637-C5FC-8244-A347-E03290B8CE3A}"/>
            </a:ext>
          </a:extLst>
        </xdr:cNvPr>
        <xdr:cNvSpPr/>
      </xdr:nvSpPr>
      <xdr:spPr>
        <a:xfrm>
          <a:off x="13520739315" y="13055599"/>
          <a:ext cx="185057" cy="185057"/>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ctr"/>
        <a:lstStyle/>
        <a:p>
          <a:pPr algn="ctr" rtl="1"/>
          <a:r>
            <a:rPr lang="en-US" sz="1100"/>
            <a:t>4</a:t>
          </a:r>
        </a:p>
      </xdr:txBody>
    </xdr:sp>
    <xdr:clientData/>
  </xdr:twoCellAnchor>
  <xdr:twoCellAnchor>
    <xdr:from>
      <xdr:col>6</xdr:col>
      <xdr:colOff>620427</xdr:colOff>
      <xdr:row>68</xdr:row>
      <xdr:rowOff>124918</xdr:rowOff>
    </xdr:from>
    <xdr:to>
      <xdr:col>6</xdr:col>
      <xdr:colOff>786984</xdr:colOff>
      <xdr:row>68</xdr:row>
      <xdr:rowOff>129082</xdr:rowOff>
    </xdr:to>
    <xdr:cxnSp macro="">
      <xdr:nvCxnSpPr>
        <xdr:cNvPr id="10" name="Straight Connector 9">
          <a:extLst>
            <a:ext uri="{FF2B5EF4-FFF2-40B4-BE49-F238E27FC236}">
              <a16:creationId xmlns:a16="http://schemas.microsoft.com/office/drawing/2014/main" id="{4921D913-E3D9-0545-AC51-481FB903C982}"/>
            </a:ext>
          </a:extLst>
        </xdr:cNvPr>
        <xdr:cNvCxnSpPr/>
      </xdr:nvCxnSpPr>
      <xdr:spPr>
        <a:xfrm flipH="1">
          <a:off x="13519252016" y="13358318"/>
          <a:ext cx="166557" cy="4164"/>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770329</xdr:colOff>
      <xdr:row>65</xdr:row>
      <xdr:rowOff>108263</xdr:rowOff>
    </xdr:from>
    <xdr:to>
      <xdr:col>7</xdr:col>
      <xdr:colOff>112427</xdr:colOff>
      <xdr:row>65</xdr:row>
      <xdr:rowOff>112427</xdr:rowOff>
    </xdr:to>
    <xdr:cxnSp macro="">
      <xdr:nvCxnSpPr>
        <xdr:cNvPr id="11" name="Straight Connector 10">
          <a:extLst>
            <a:ext uri="{FF2B5EF4-FFF2-40B4-BE49-F238E27FC236}">
              <a16:creationId xmlns:a16="http://schemas.microsoft.com/office/drawing/2014/main" id="{CEA19BDB-8DEA-5C4D-A40C-D0A9CA2129D8}"/>
            </a:ext>
          </a:extLst>
        </xdr:cNvPr>
        <xdr:cNvCxnSpPr/>
      </xdr:nvCxnSpPr>
      <xdr:spPr>
        <a:xfrm flipH="1">
          <a:off x="13519101073" y="12732063"/>
          <a:ext cx="167598" cy="4164"/>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778656</xdr:colOff>
      <xdr:row>65</xdr:row>
      <xdr:rowOff>112427</xdr:rowOff>
    </xdr:from>
    <xdr:to>
      <xdr:col>6</xdr:col>
      <xdr:colOff>782820</xdr:colOff>
      <xdr:row>68</xdr:row>
      <xdr:rowOff>120754</xdr:rowOff>
    </xdr:to>
    <xdr:cxnSp macro="">
      <xdr:nvCxnSpPr>
        <xdr:cNvPr id="12" name="Straight Connector 11">
          <a:extLst>
            <a:ext uri="{FF2B5EF4-FFF2-40B4-BE49-F238E27FC236}">
              <a16:creationId xmlns:a16="http://schemas.microsoft.com/office/drawing/2014/main" id="{7F76CE5F-43D8-4D46-91DD-276DE6913BAC}"/>
            </a:ext>
          </a:extLst>
        </xdr:cNvPr>
        <xdr:cNvCxnSpPr/>
      </xdr:nvCxnSpPr>
      <xdr:spPr>
        <a:xfrm>
          <a:off x="13519256180" y="12736227"/>
          <a:ext cx="4164" cy="617927"/>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12492</xdr:colOff>
      <xdr:row>75</xdr:row>
      <xdr:rowOff>95771</xdr:rowOff>
    </xdr:from>
    <xdr:to>
      <xdr:col>7</xdr:col>
      <xdr:colOff>528820</xdr:colOff>
      <xdr:row>75</xdr:row>
      <xdr:rowOff>124918</xdr:rowOff>
    </xdr:to>
    <xdr:cxnSp macro="">
      <xdr:nvCxnSpPr>
        <xdr:cNvPr id="13" name="Straight Arrow Connector 12">
          <a:extLst>
            <a:ext uri="{FF2B5EF4-FFF2-40B4-BE49-F238E27FC236}">
              <a16:creationId xmlns:a16="http://schemas.microsoft.com/office/drawing/2014/main" id="{1E810B9D-1CCD-9546-ABE2-6F71954D6BA2}"/>
            </a:ext>
          </a:extLst>
        </xdr:cNvPr>
        <xdr:cNvCxnSpPr/>
      </xdr:nvCxnSpPr>
      <xdr:spPr>
        <a:xfrm flipV="1">
          <a:off x="13518684680" y="14751571"/>
          <a:ext cx="6447228" cy="29147"/>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408066</xdr:colOff>
      <xdr:row>73</xdr:row>
      <xdr:rowOff>16557</xdr:rowOff>
    </xdr:from>
    <xdr:to>
      <xdr:col>6</xdr:col>
      <xdr:colOff>333115</xdr:colOff>
      <xdr:row>74</xdr:row>
      <xdr:rowOff>8327</xdr:rowOff>
    </xdr:to>
    <xdr:sp macro="" textlink="">
      <xdr:nvSpPr>
        <xdr:cNvPr id="14" name="Freeform 13">
          <a:extLst>
            <a:ext uri="{FF2B5EF4-FFF2-40B4-BE49-F238E27FC236}">
              <a16:creationId xmlns:a16="http://schemas.microsoft.com/office/drawing/2014/main" id="{0C4831FF-9317-6547-8F6C-813F42AF7F44}"/>
            </a:ext>
          </a:extLst>
        </xdr:cNvPr>
        <xdr:cNvSpPr/>
      </xdr:nvSpPr>
      <xdr:spPr>
        <a:xfrm>
          <a:off x="13519705885" y="14265957"/>
          <a:ext cx="1703049" cy="194970"/>
        </a:xfrm>
        <a:custGeom>
          <a:avLst/>
          <a:gdLst>
            <a:gd name="connsiteX0" fmla="*/ 0 w 1573967"/>
            <a:gd name="connsiteY0" fmla="*/ 174984 h 195803"/>
            <a:gd name="connsiteX1" fmla="*/ 745344 w 1573967"/>
            <a:gd name="connsiteY1" fmla="*/ 98 h 195803"/>
            <a:gd name="connsiteX2" fmla="*/ 1573967 w 1573967"/>
            <a:gd name="connsiteY2" fmla="*/ 195803 h 195803"/>
          </a:gdLst>
          <a:ahLst/>
          <a:cxnLst>
            <a:cxn ang="0">
              <a:pos x="connsiteX0" y="connsiteY0"/>
            </a:cxn>
            <a:cxn ang="0">
              <a:pos x="connsiteX1" y="connsiteY1"/>
            </a:cxn>
            <a:cxn ang="0">
              <a:pos x="connsiteX2" y="connsiteY2"/>
            </a:cxn>
          </a:cxnLst>
          <a:rect l="l" t="t" r="r" b="b"/>
          <a:pathLst>
            <a:path w="1573967" h="195803">
              <a:moveTo>
                <a:pt x="0" y="174984"/>
              </a:moveTo>
              <a:cubicBezTo>
                <a:pt x="241508" y="85806"/>
                <a:pt x="483016" y="-3372"/>
                <a:pt x="745344" y="98"/>
              </a:cubicBezTo>
              <a:cubicBezTo>
                <a:pt x="1007672" y="3568"/>
                <a:pt x="1290819" y="99685"/>
                <a:pt x="1573967" y="195803"/>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445541</xdr:colOff>
      <xdr:row>73</xdr:row>
      <xdr:rowOff>24885</xdr:rowOff>
    </xdr:from>
    <xdr:to>
      <xdr:col>4</xdr:col>
      <xdr:colOff>370590</xdr:colOff>
      <xdr:row>74</xdr:row>
      <xdr:rowOff>16655</xdr:rowOff>
    </xdr:to>
    <xdr:sp macro="" textlink="">
      <xdr:nvSpPr>
        <xdr:cNvPr id="15" name="Freeform 14">
          <a:extLst>
            <a:ext uri="{FF2B5EF4-FFF2-40B4-BE49-F238E27FC236}">
              <a16:creationId xmlns:a16="http://schemas.microsoft.com/office/drawing/2014/main" id="{A52E8DE4-540B-F34E-8D38-F2D114A1112B}"/>
            </a:ext>
          </a:extLst>
        </xdr:cNvPr>
        <xdr:cNvSpPr/>
      </xdr:nvSpPr>
      <xdr:spPr>
        <a:xfrm>
          <a:off x="13521446410" y="14274285"/>
          <a:ext cx="1601449" cy="194970"/>
        </a:xfrm>
        <a:custGeom>
          <a:avLst/>
          <a:gdLst>
            <a:gd name="connsiteX0" fmla="*/ 0 w 1573967"/>
            <a:gd name="connsiteY0" fmla="*/ 174984 h 195803"/>
            <a:gd name="connsiteX1" fmla="*/ 745344 w 1573967"/>
            <a:gd name="connsiteY1" fmla="*/ 98 h 195803"/>
            <a:gd name="connsiteX2" fmla="*/ 1573967 w 1573967"/>
            <a:gd name="connsiteY2" fmla="*/ 195803 h 195803"/>
          </a:gdLst>
          <a:ahLst/>
          <a:cxnLst>
            <a:cxn ang="0">
              <a:pos x="connsiteX0" y="connsiteY0"/>
            </a:cxn>
            <a:cxn ang="0">
              <a:pos x="connsiteX1" y="connsiteY1"/>
            </a:cxn>
            <a:cxn ang="0">
              <a:pos x="connsiteX2" y="connsiteY2"/>
            </a:cxn>
          </a:cxnLst>
          <a:rect l="l" t="t" r="r" b="b"/>
          <a:pathLst>
            <a:path w="1573967" h="195803">
              <a:moveTo>
                <a:pt x="0" y="174984"/>
              </a:moveTo>
              <a:cubicBezTo>
                <a:pt x="241508" y="85806"/>
                <a:pt x="483016" y="-3372"/>
                <a:pt x="745344" y="98"/>
              </a:cubicBezTo>
              <a:cubicBezTo>
                <a:pt x="1007672" y="3568"/>
                <a:pt x="1290819" y="99685"/>
                <a:pt x="1573967" y="195803"/>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362262</xdr:colOff>
      <xdr:row>72</xdr:row>
      <xdr:rowOff>178951</xdr:rowOff>
    </xdr:from>
    <xdr:to>
      <xdr:col>2</xdr:col>
      <xdr:colOff>287311</xdr:colOff>
      <xdr:row>73</xdr:row>
      <xdr:rowOff>170721</xdr:rowOff>
    </xdr:to>
    <xdr:sp macro="" textlink="">
      <xdr:nvSpPr>
        <xdr:cNvPr id="16" name="Freeform 15">
          <a:extLst>
            <a:ext uri="{FF2B5EF4-FFF2-40B4-BE49-F238E27FC236}">
              <a16:creationId xmlns:a16="http://schemas.microsoft.com/office/drawing/2014/main" id="{50745208-283C-554D-96F0-A65924F1CEBC}"/>
            </a:ext>
          </a:extLst>
        </xdr:cNvPr>
        <xdr:cNvSpPr/>
      </xdr:nvSpPr>
      <xdr:spPr>
        <a:xfrm>
          <a:off x="13523206089" y="14225151"/>
          <a:ext cx="1576049" cy="194970"/>
        </a:xfrm>
        <a:custGeom>
          <a:avLst/>
          <a:gdLst>
            <a:gd name="connsiteX0" fmla="*/ 0 w 1573967"/>
            <a:gd name="connsiteY0" fmla="*/ 174984 h 195803"/>
            <a:gd name="connsiteX1" fmla="*/ 745344 w 1573967"/>
            <a:gd name="connsiteY1" fmla="*/ 98 h 195803"/>
            <a:gd name="connsiteX2" fmla="*/ 1573967 w 1573967"/>
            <a:gd name="connsiteY2" fmla="*/ 195803 h 195803"/>
          </a:gdLst>
          <a:ahLst/>
          <a:cxnLst>
            <a:cxn ang="0">
              <a:pos x="connsiteX0" y="connsiteY0"/>
            </a:cxn>
            <a:cxn ang="0">
              <a:pos x="connsiteX1" y="connsiteY1"/>
            </a:cxn>
            <a:cxn ang="0">
              <a:pos x="connsiteX2" y="connsiteY2"/>
            </a:cxn>
          </a:cxnLst>
          <a:rect l="l" t="t" r="r" b="b"/>
          <a:pathLst>
            <a:path w="1573967" h="195803">
              <a:moveTo>
                <a:pt x="0" y="174984"/>
              </a:moveTo>
              <a:cubicBezTo>
                <a:pt x="241508" y="85806"/>
                <a:pt x="483016" y="-3372"/>
                <a:pt x="745344" y="98"/>
              </a:cubicBezTo>
              <a:cubicBezTo>
                <a:pt x="1007672" y="3568"/>
                <a:pt x="1290819" y="99685"/>
                <a:pt x="1573967" y="195803"/>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3628</xdr:colOff>
      <xdr:row>94</xdr:row>
      <xdr:rowOff>29029</xdr:rowOff>
    </xdr:from>
    <xdr:to>
      <xdr:col>5</xdr:col>
      <xdr:colOff>188685</xdr:colOff>
      <xdr:row>95</xdr:row>
      <xdr:rowOff>10886</xdr:rowOff>
    </xdr:to>
    <xdr:sp macro="" textlink="">
      <xdr:nvSpPr>
        <xdr:cNvPr id="17" name="Rectangle 16">
          <a:extLst>
            <a:ext uri="{FF2B5EF4-FFF2-40B4-BE49-F238E27FC236}">
              <a16:creationId xmlns:a16="http://schemas.microsoft.com/office/drawing/2014/main" id="{23134F83-2172-4D47-81BE-405FB15AC326}"/>
            </a:ext>
          </a:extLst>
        </xdr:cNvPr>
        <xdr:cNvSpPr/>
      </xdr:nvSpPr>
      <xdr:spPr>
        <a:xfrm>
          <a:off x="13520739315" y="18558329"/>
          <a:ext cx="185057" cy="185057"/>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4</xdr:col>
      <xdr:colOff>820296</xdr:colOff>
      <xdr:row>95</xdr:row>
      <xdr:rowOff>39915</xdr:rowOff>
    </xdr:from>
    <xdr:to>
      <xdr:col>5</xdr:col>
      <xdr:colOff>192314</xdr:colOff>
      <xdr:row>96</xdr:row>
      <xdr:rowOff>20820</xdr:rowOff>
    </xdr:to>
    <xdr:sp macro="" textlink="">
      <xdr:nvSpPr>
        <xdr:cNvPr id="18" name="Rectangle 17">
          <a:extLst>
            <a:ext uri="{FF2B5EF4-FFF2-40B4-BE49-F238E27FC236}">
              <a16:creationId xmlns:a16="http://schemas.microsoft.com/office/drawing/2014/main" id="{E577DAEE-6B3D-9A42-B434-E192482EECEB}"/>
            </a:ext>
          </a:extLst>
        </xdr:cNvPr>
        <xdr:cNvSpPr/>
      </xdr:nvSpPr>
      <xdr:spPr>
        <a:xfrm>
          <a:off x="13520735686" y="18772415"/>
          <a:ext cx="261018" cy="18410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3</a:t>
          </a:r>
        </a:p>
      </xdr:txBody>
    </xdr:sp>
    <xdr:clientData/>
  </xdr:twoCellAnchor>
  <xdr:twoCellAnchor>
    <xdr:from>
      <xdr:col>5</xdr:col>
      <xdr:colOff>24210</xdr:colOff>
      <xdr:row>96</xdr:row>
      <xdr:rowOff>201355</xdr:rowOff>
    </xdr:from>
    <xdr:to>
      <xdr:col>5</xdr:col>
      <xdr:colOff>206411</xdr:colOff>
      <xdr:row>97</xdr:row>
      <xdr:rowOff>183213</xdr:rowOff>
    </xdr:to>
    <xdr:sp macro="" textlink="">
      <xdr:nvSpPr>
        <xdr:cNvPr id="19" name="Rectangle 18">
          <a:extLst>
            <a:ext uri="{FF2B5EF4-FFF2-40B4-BE49-F238E27FC236}">
              <a16:creationId xmlns:a16="http://schemas.microsoft.com/office/drawing/2014/main" id="{81A6007D-5663-FA4E-9016-372D07B02365}"/>
            </a:ext>
          </a:extLst>
        </xdr:cNvPr>
        <xdr:cNvSpPr/>
      </xdr:nvSpPr>
      <xdr:spPr>
        <a:xfrm>
          <a:off x="13520721589" y="19137055"/>
          <a:ext cx="182201" cy="1850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5</xdr:col>
      <xdr:colOff>11956</xdr:colOff>
      <xdr:row>96</xdr:row>
      <xdr:rowOff>21235</xdr:rowOff>
    </xdr:from>
    <xdr:to>
      <xdr:col>5</xdr:col>
      <xdr:colOff>197013</xdr:colOff>
      <xdr:row>97</xdr:row>
      <xdr:rowOff>3093</xdr:rowOff>
    </xdr:to>
    <xdr:sp macro="" textlink="">
      <xdr:nvSpPr>
        <xdr:cNvPr id="20" name="Rectangle 19">
          <a:extLst>
            <a:ext uri="{FF2B5EF4-FFF2-40B4-BE49-F238E27FC236}">
              <a16:creationId xmlns:a16="http://schemas.microsoft.com/office/drawing/2014/main" id="{342FF880-1906-2740-A547-A56F33BAA642}"/>
            </a:ext>
          </a:extLst>
        </xdr:cNvPr>
        <xdr:cNvSpPr/>
      </xdr:nvSpPr>
      <xdr:spPr>
        <a:xfrm>
          <a:off x="13520730987" y="18956935"/>
          <a:ext cx="185057" cy="185058"/>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ctr"/>
        <a:lstStyle/>
        <a:p>
          <a:pPr algn="ctr" rtl="1"/>
          <a:r>
            <a:rPr lang="en-US" sz="1100"/>
            <a:t>4</a:t>
          </a:r>
        </a:p>
      </xdr:txBody>
    </xdr:sp>
    <xdr:clientData/>
  </xdr:twoCellAnchor>
  <xdr:twoCellAnchor>
    <xdr:from>
      <xdr:col>5</xdr:col>
      <xdr:colOff>1</xdr:colOff>
      <xdr:row>98</xdr:row>
      <xdr:rowOff>27423</xdr:rowOff>
    </xdr:from>
    <xdr:to>
      <xdr:col>5</xdr:col>
      <xdr:colOff>196478</xdr:colOff>
      <xdr:row>99</xdr:row>
      <xdr:rowOff>8327</xdr:rowOff>
    </xdr:to>
    <xdr:sp macro="" textlink="">
      <xdr:nvSpPr>
        <xdr:cNvPr id="21" name="Rectangle 20">
          <a:extLst>
            <a:ext uri="{FF2B5EF4-FFF2-40B4-BE49-F238E27FC236}">
              <a16:creationId xmlns:a16="http://schemas.microsoft.com/office/drawing/2014/main" id="{7B964C90-FC6A-144D-A769-E6392DE12742}"/>
            </a:ext>
          </a:extLst>
        </xdr:cNvPr>
        <xdr:cNvSpPr/>
      </xdr:nvSpPr>
      <xdr:spPr>
        <a:xfrm>
          <a:off x="13520731522" y="19382223"/>
          <a:ext cx="196477" cy="18410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3</a:t>
          </a:r>
        </a:p>
      </xdr:txBody>
    </xdr:sp>
    <xdr:clientData/>
  </xdr:twoCellAnchor>
  <xdr:twoCellAnchor>
    <xdr:from>
      <xdr:col>5</xdr:col>
      <xdr:colOff>3390</xdr:colOff>
      <xdr:row>100</xdr:row>
      <xdr:rowOff>5650</xdr:rowOff>
    </xdr:from>
    <xdr:to>
      <xdr:col>5</xdr:col>
      <xdr:colOff>185591</xdr:colOff>
      <xdr:row>100</xdr:row>
      <xdr:rowOff>191540</xdr:rowOff>
    </xdr:to>
    <xdr:sp macro="" textlink="">
      <xdr:nvSpPr>
        <xdr:cNvPr id="22" name="Rectangle 21">
          <a:extLst>
            <a:ext uri="{FF2B5EF4-FFF2-40B4-BE49-F238E27FC236}">
              <a16:creationId xmlns:a16="http://schemas.microsoft.com/office/drawing/2014/main" id="{4F74DDEC-4CE5-7B4B-97DA-5C3D7C6F3B8D}"/>
            </a:ext>
          </a:extLst>
        </xdr:cNvPr>
        <xdr:cNvSpPr/>
      </xdr:nvSpPr>
      <xdr:spPr>
        <a:xfrm>
          <a:off x="13520742409" y="19766850"/>
          <a:ext cx="182201" cy="1858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5</xdr:col>
      <xdr:colOff>7792</xdr:colOff>
      <xdr:row>99</xdr:row>
      <xdr:rowOff>4579</xdr:rowOff>
    </xdr:from>
    <xdr:to>
      <xdr:col>5</xdr:col>
      <xdr:colOff>192849</xdr:colOff>
      <xdr:row>99</xdr:row>
      <xdr:rowOff>190470</xdr:rowOff>
    </xdr:to>
    <xdr:sp macro="" textlink="">
      <xdr:nvSpPr>
        <xdr:cNvPr id="23" name="Rectangle 22">
          <a:extLst>
            <a:ext uri="{FF2B5EF4-FFF2-40B4-BE49-F238E27FC236}">
              <a16:creationId xmlns:a16="http://schemas.microsoft.com/office/drawing/2014/main" id="{35D5C9BB-610A-8541-AE3C-3EB7BCF7CAA4}"/>
            </a:ext>
          </a:extLst>
        </xdr:cNvPr>
        <xdr:cNvSpPr/>
      </xdr:nvSpPr>
      <xdr:spPr>
        <a:xfrm>
          <a:off x="13520735151" y="19562579"/>
          <a:ext cx="185057" cy="185891"/>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ctr"/>
        <a:lstStyle/>
        <a:p>
          <a:pPr algn="ctr" rtl="1"/>
          <a:r>
            <a:rPr lang="en-US" sz="1100"/>
            <a:t>4</a:t>
          </a:r>
        </a:p>
      </xdr:txBody>
    </xdr:sp>
    <xdr:clientData/>
  </xdr:twoCellAnchor>
  <xdr:twoCellAnchor>
    <xdr:from>
      <xdr:col>5</xdr:col>
      <xdr:colOff>3628</xdr:colOff>
      <xdr:row>128</xdr:row>
      <xdr:rowOff>29029</xdr:rowOff>
    </xdr:from>
    <xdr:to>
      <xdr:col>5</xdr:col>
      <xdr:colOff>188685</xdr:colOff>
      <xdr:row>129</xdr:row>
      <xdr:rowOff>10886</xdr:rowOff>
    </xdr:to>
    <xdr:sp macro="" textlink="">
      <xdr:nvSpPr>
        <xdr:cNvPr id="24" name="Rectangle 23">
          <a:extLst>
            <a:ext uri="{FF2B5EF4-FFF2-40B4-BE49-F238E27FC236}">
              <a16:creationId xmlns:a16="http://schemas.microsoft.com/office/drawing/2014/main" id="{E926107F-CDF9-EF40-BC64-151FFE8937C4}"/>
            </a:ext>
          </a:extLst>
        </xdr:cNvPr>
        <xdr:cNvSpPr/>
      </xdr:nvSpPr>
      <xdr:spPr>
        <a:xfrm>
          <a:off x="13520739315" y="24908329"/>
          <a:ext cx="185057" cy="185057"/>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4</xdr:col>
      <xdr:colOff>823686</xdr:colOff>
      <xdr:row>131</xdr:row>
      <xdr:rowOff>18143</xdr:rowOff>
    </xdr:from>
    <xdr:to>
      <xdr:col>5</xdr:col>
      <xdr:colOff>181428</xdr:colOff>
      <xdr:row>132</xdr:row>
      <xdr:rowOff>0</xdr:rowOff>
    </xdr:to>
    <xdr:sp macro="" textlink="">
      <xdr:nvSpPr>
        <xdr:cNvPr id="25" name="Rectangle 24">
          <a:extLst>
            <a:ext uri="{FF2B5EF4-FFF2-40B4-BE49-F238E27FC236}">
              <a16:creationId xmlns:a16="http://schemas.microsoft.com/office/drawing/2014/main" id="{03FE4577-B77A-F54A-B27E-D192B954450E}"/>
            </a:ext>
          </a:extLst>
        </xdr:cNvPr>
        <xdr:cNvSpPr/>
      </xdr:nvSpPr>
      <xdr:spPr>
        <a:xfrm>
          <a:off x="13520746572" y="25507043"/>
          <a:ext cx="246742" cy="185057"/>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5</xdr:col>
      <xdr:colOff>7257</xdr:colOff>
      <xdr:row>129</xdr:row>
      <xdr:rowOff>39914</xdr:rowOff>
    </xdr:from>
    <xdr:to>
      <xdr:col>5</xdr:col>
      <xdr:colOff>192314</xdr:colOff>
      <xdr:row>130</xdr:row>
      <xdr:rowOff>21771</xdr:rowOff>
    </xdr:to>
    <xdr:sp macro="" textlink="">
      <xdr:nvSpPr>
        <xdr:cNvPr id="26" name="Rectangle 25">
          <a:extLst>
            <a:ext uri="{FF2B5EF4-FFF2-40B4-BE49-F238E27FC236}">
              <a16:creationId xmlns:a16="http://schemas.microsoft.com/office/drawing/2014/main" id="{6606B8FF-0EEC-B54E-AA9C-9E9777966BED}"/>
            </a:ext>
          </a:extLst>
        </xdr:cNvPr>
        <xdr:cNvSpPr/>
      </xdr:nvSpPr>
      <xdr:spPr>
        <a:xfrm>
          <a:off x="13520735686" y="25122414"/>
          <a:ext cx="185057" cy="185057"/>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3</a:t>
          </a:r>
        </a:p>
      </xdr:txBody>
    </xdr:sp>
    <xdr:clientData/>
  </xdr:twoCellAnchor>
  <xdr:twoCellAnchor>
    <xdr:from>
      <xdr:col>5</xdr:col>
      <xdr:colOff>3628</xdr:colOff>
      <xdr:row>130</xdr:row>
      <xdr:rowOff>25399</xdr:rowOff>
    </xdr:from>
    <xdr:to>
      <xdr:col>5</xdr:col>
      <xdr:colOff>188685</xdr:colOff>
      <xdr:row>131</xdr:row>
      <xdr:rowOff>7256</xdr:rowOff>
    </xdr:to>
    <xdr:sp macro="" textlink="">
      <xdr:nvSpPr>
        <xdr:cNvPr id="27" name="Rectangle 26">
          <a:extLst>
            <a:ext uri="{FF2B5EF4-FFF2-40B4-BE49-F238E27FC236}">
              <a16:creationId xmlns:a16="http://schemas.microsoft.com/office/drawing/2014/main" id="{910615B0-9DC1-8740-87C8-928B9B163D65}"/>
            </a:ext>
          </a:extLst>
        </xdr:cNvPr>
        <xdr:cNvSpPr/>
      </xdr:nvSpPr>
      <xdr:spPr>
        <a:xfrm>
          <a:off x="13520739315" y="25311099"/>
          <a:ext cx="185057" cy="185057"/>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ctr"/>
        <a:lstStyle/>
        <a:p>
          <a:pPr algn="ctr" rtl="1"/>
          <a:r>
            <a:rPr lang="en-US" sz="1100"/>
            <a:t>4</a:t>
          </a:r>
        </a:p>
      </xdr:txBody>
    </xdr:sp>
    <xdr:clientData/>
  </xdr:twoCellAnchor>
  <xdr:twoCellAnchor>
    <xdr:from>
      <xdr:col>6</xdr:col>
      <xdr:colOff>620427</xdr:colOff>
      <xdr:row>131</xdr:row>
      <xdr:rowOff>124918</xdr:rowOff>
    </xdr:from>
    <xdr:to>
      <xdr:col>6</xdr:col>
      <xdr:colOff>786984</xdr:colOff>
      <xdr:row>131</xdr:row>
      <xdr:rowOff>129082</xdr:rowOff>
    </xdr:to>
    <xdr:cxnSp macro="">
      <xdr:nvCxnSpPr>
        <xdr:cNvPr id="28" name="Straight Connector 27">
          <a:extLst>
            <a:ext uri="{FF2B5EF4-FFF2-40B4-BE49-F238E27FC236}">
              <a16:creationId xmlns:a16="http://schemas.microsoft.com/office/drawing/2014/main" id="{0D2B2693-DA39-C342-8F17-F8E0BC20FAE4}"/>
            </a:ext>
          </a:extLst>
        </xdr:cNvPr>
        <xdr:cNvCxnSpPr/>
      </xdr:nvCxnSpPr>
      <xdr:spPr>
        <a:xfrm flipH="1">
          <a:off x="13519252016" y="25613818"/>
          <a:ext cx="166557" cy="4164"/>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770329</xdr:colOff>
      <xdr:row>128</xdr:row>
      <xdr:rowOff>108263</xdr:rowOff>
    </xdr:from>
    <xdr:to>
      <xdr:col>7</xdr:col>
      <xdr:colOff>112427</xdr:colOff>
      <xdr:row>128</xdr:row>
      <xdr:rowOff>112427</xdr:rowOff>
    </xdr:to>
    <xdr:cxnSp macro="">
      <xdr:nvCxnSpPr>
        <xdr:cNvPr id="29" name="Straight Connector 28">
          <a:extLst>
            <a:ext uri="{FF2B5EF4-FFF2-40B4-BE49-F238E27FC236}">
              <a16:creationId xmlns:a16="http://schemas.microsoft.com/office/drawing/2014/main" id="{EAB741CC-9948-8F4F-8796-368E00CC2DE1}"/>
            </a:ext>
          </a:extLst>
        </xdr:cNvPr>
        <xdr:cNvCxnSpPr/>
      </xdr:nvCxnSpPr>
      <xdr:spPr>
        <a:xfrm flipH="1">
          <a:off x="13519101073" y="24987563"/>
          <a:ext cx="167598" cy="4164"/>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778656</xdr:colOff>
      <xdr:row>128</xdr:row>
      <xdr:rowOff>112427</xdr:rowOff>
    </xdr:from>
    <xdr:to>
      <xdr:col>6</xdr:col>
      <xdr:colOff>782820</xdr:colOff>
      <xdr:row>131</xdr:row>
      <xdr:rowOff>120754</xdr:rowOff>
    </xdr:to>
    <xdr:cxnSp macro="">
      <xdr:nvCxnSpPr>
        <xdr:cNvPr id="30" name="Straight Connector 29">
          <a:extLst>
            <a:ext uri="{FF2B5EF4-FFF2-40B4-BE49-F238E27FC236}">
              <a16:creationId xmlns:a16="http://schemas.microsoft.com/office/drawing/2014/main" id="{D1727D20-C491-2F40-8739-4BC26D09AA97}"/>
            </a:ext>
          </a:extLst>
        </xdr:cNvPr>
        <xdr:cNvCxnSpPr/>
      </xdr:nvCxnSpPr>
      <xdr:spPr>
        <a:xfrm>
          <a:off x="13519256180" y="24991727"/>
          <a:ext cx="4164" cy="617927"/>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677334</xdr:colOff>
      <xdr:row>25</xdr:row>
      <xdr:rowOff>42333</xdr:rowOff>
    </xdr:from>
    <xdr:to>
      <xdr:col>1</xdr:col>
      <xdr:colOff>771408</xdr:colOff>
      <xdr:row>26</xdr:row>
      <xdr:rowOff>32926</xdr:rowOff>
    </xdr:to>
    <xdr:sp macro="" textlink="">
      <xdr:nvSpPr>
        <xdr:cNvPr id="31" name="Down Arrow 30">
          <a:extLst>
            <a:ext uri="{FF2B5EF4-FFF2-40B4-BE49-F238E27FC236}">
              <a16:creationId xmlns:a16="http://schemas.microsoft.com/office/drawing/2014/main" id="{E069BECE-FF1C-12AE-3FED-07D64F11DE44}"/>
            </a:ext>
          </a:extLst>
        </xdr:cNvPr>
        <xdr:cNvSpPr/>
      </xdr:nvSpPr>
      <xdr:spPr>
        <a:xfrm>
          <a:off x="13562071296" y="5334000"/>
          <a:ext cx="94074" cy="19285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390409</xdr:colOff>
      <xdr:row>25</xdr:row>
      <xdr:rowOff>18814</xdr:rowOff>
    </xdr:from>
    <xdr:to>
      <xdr:col>4</xdr:col>
      <xdr:colOff>484483</xdr:colOff>
      <xdr:row>26</xdr:row>
      <xdr:rowOff>9407</xdr:rowOff>
    </xdr:to>
    <xdr:sp macro="" textlink="">
      <xdr:nvSpPr>
        <xdr:cNvPr id="32" name="Down Arrow 31">
          <a:extLst>
            <a:ext uri="{FF2B5EF4-FFF2-40B4-BE49-F238E27FC236}">
              <a16:creationId xmlns:a16="http://schemas.microsoft.com/office/drawing/2014/main" id="{1B4455DE-8270-78FD-F35D-4AFE22A42BB9}"/>
            </a:ext>
          </a:extLst>
        </xdr:cNvPr>
        <xdr:cNvSpPr/>
      </xdr:nvSpPr>
      <xdr:spPr>
        <a:xfrm>
          <a:off x="13559851147" y="5310481"/>
          <a:ext cx="94074" cy="19285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7</xdr:col>
      <xdr:colOff>809624</xdr:colOff>
      <xdr:row>103</xdr:row>
      <xdr:rowOff>53790</xdr:rowOff>
    </xdr:from>
    <xdr:to>
      <xdr:col>9</xdr:col>
      <xdr:colOff>700617</xdr:colOff>
      <xdr:row>110</xdr:row>
      <xdr:rowOff>87158</xdr:rowOff>
    </xdr:to>
    <xdr:pic>
      <xdr:nvPicPr>
        <xdr:cNvPr id="33" name="Picture 32">
          <a:extLst>
            <a:ext uri="{FF2B5EF4-FFF2-40B4-BE49-F238E27FC236}">
              <a16:creationId xmlns:a16="http://schemas.microsoft.com/office/drawing/2014/main" id="{5A3336F8-9D2B-4578-6575-66166768BDB0}"/>
            </a:ext>
          </a:extLst>
        </xdr:cNvPr>
        <xdr:cNvPicPr>
          <a:picLocks noChangeAspect="1"/>
        </xdr:cNvPicPr>
      </xdr:nvPicPr>
      <xdr:blipFill>
        <a:blip xmlns:r="http://schemas.openxmlformats.org/officeDocument/2006/relationships" r:embed="rId1"/>
        <a:stretch>
          <a:fillRect/>
        </a:stretch>
      </xdr:blipFill>
      <xdr:spPr>
        <a:xfrm>
          <a:off x="13517496883" y="21156957"/>
          <a:ext cx="1541993" cy="1440951"/>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xdr:from>
      <xdr:col>2</xdr:col>
      <xdr:colOff>175396</xdr:colOff>
      <xdr:row>36</xdr:row>
      <xdr:rowOff>45476</xdr:rowOff>
    </xdr:from>
    <xdr:to>
      <xdr:col>5</xdr:col>
      <xdr:colOff>636625</xdr:colOff>
      <xdr:row>37</xdr:row>
      <xdr:rowOff>74707</xdr:rowOff>
    </xdr:to>
    <xdr:sp macro="" textlink="">
      <xdr:nvSpPr>
        <xdr:cNvPr id="2" name="Left Brace 1">
          <a:extLst>
            <a:ext uri="{FF2B5EF4-FFF2-40B4-BE49-F238E27FC236}">
              <a16:creationId xmlns:a16="http://schemas.microsoft.com/office/drawing/2014/main" id="{1E142C02-0F6B-E24B-BBCE-1A53F9C79428}"/>
            </a:ext>
          </a:extLst>
        </xdr:cNvPr>
        <xdr:cNvSpPr/>
      </xdr:nvSpPr>
      <xdr:spPr>
        <a:xfrm rot="5400000">
          <a:off x="13521580524" y="6008027"/>
          <a:ext cx="232431" cy="2937729"/>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190605</xdr:colOff>
      <xdr:row>36</xdr:row>
      <xdr:rowOff>11254</xdr:rowOff>
    </xdr:from>
    <xdr:to>
      <xdr:col>9</xdr:col>
      <xdr:colOff>651834</xdr:colOff>
      <xdr:row>37</xdr:row>
      <xdr:rowOff>40485</xdr:rowOff>
    </xdr:to>
    <xdr:sp macro="" textlink="">
      <xdr:nvSpPr>
        <xdr:cNvPr id="3" name="Left Brace 2">
          <a:extLst>
            <a:ext uri="{FF2B5EF4-FFF2-40B4-BE49-F238E27FC236}">
              <a16:creationId xmlns:a16="http://schemas.microsoft.com/office/drawing/2014/main" id="{E615746D-9943-CF4F-A7EB-AC3FFEC1EDD1}"/>
            </a:ext>
          </a:extLst>
        </xdr:cNvPr>
        <xdr:cNvSpPr/>
      </xdr:nvSpPr>
      <xdr:spPr>
        <a:xfrm rot="5400000">
          <a:off x="13518263315" y="5973805"/>
          <a:ext cx="232431" cy="2937729"/>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205815</xdr:colOff>
      <xdr:row>42</xdr:row>
      <xdr:rowOff>151942</xdr:rowOff>
    </xdr:from>
    <xdr:to>
      <xdr:col>5</xdr:col>
      <xdr:colOff>667044</xdr:colOff>
      <xdr:row>43</xdr:row>
      <xdr:rowOff>181173</xdr:rowOff>
    </xdr:to>
    <xdr:sp macro="" textlink="">
      <xdr:nvSpPr>
        <xdr:cNvPr id="4" name="Left Brace 3">
          <a:extLst>
            <a:ext uri="{FF2B5EF4-FFF2-40B4-BE49-F238E27FC236}">
              <a16:creationId xmlns:a16="http://schemas.microsoft.com/office/drawing/2014/main" id="{4E805C63-80FA-A749-8861-F138C488E812}"/>
            </a:ext>
          </a:extLst>
        </xdr:cNvPr>
        <xdr:cNvSpPr/>
      </xdr:nvSpPr>
      <xdr:spPr>
        <a:xfrm rot="16200000">
          <a:off x="13521550105" y="7333693"/>
          <a:ext cx="232431" cy="2937729"/>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38508</xdr:colOff>
      <xdr:row>42</xdr:row>
      <xdr:rowOff>159547</xdr:rowOff>
    </xdr:from>
    <xdr:to>
      <xdr:col>9</xdr:col>
      <xdr:colOff>737664</xdr:colOff>
      <xdr:row>43</xdr:row>
      <xdr:rowOff>171108</xdr:rowOff>
    </xdr:to>
    <xdr:sp macro="" textlink="">
      <xdr:nvSpPr>
        <xdr:cNvPr id="5" name="Left Brace 4">
          <a:extLst>
            <a:ext uri="{FF2B5EF4-FFF2-40B4-BE49-F238E27FC236}">
              <a16:creationId xmlns:a16="http://schemas.microsoft.com/office/drawing/2014/main" id="{990CBE47-83C6-8A46-A3F3-4A3A924938A2}"/>
            </a:ext>
          </a:extLst>
        </xdr:cNvPr>
        <xdr:cNvSpPr/>
      </xdr:nvSpPr>
      <xdr:spPr>
        <a:xfrm rot="16200000">
          <a:off x="13518305283" y="7213500"/>
          <a:ext cx="214761" cy="3175656"/>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editAs="oneCell">
    <xdr:from>
      <xdr:col>5</xdr:col>
      <xdr:colOff>762481</xdr:colOff>
      <xdr:row>137</xdr:row>
      <xdr:rowOff>6869</xdr:rowOff>
    </xdr:from>
    <xdr:to>
      <xdr:col>7</xdr:col>
      <xdr:colOff>463827</xdr:colOff>
      <xdr:row>142</xdr:row>
      <xdr:rowOff>200297</xdr:rowOff>
    </xdr:to>
    <xdr:pic>
      <xdr:nvPicPr>
        <xdr:cNvPr id="6" name="Picture 5">
          <a:extLst>
            <a:ext uri="{FF2B5EF4-FFF2-40B4-BE49-F238E27FC236}">
              <a16:creationId xmlns:a16="http://schemas.microsoft.com/office/drawing/2014/main" id="{16E45BDD-812D-184E-9457-1A6B1C74839B}"/>
            </a:ext>
          </a:extLst>
        </xdr:cNvPr>
        <xdr:cNvPicPr>
          <a:picLocks noChangeAspect="1"/>
        </xdr:cNvPicPr>
      </xdr:nvPicPr>
      <xdr:blipFill>
        <a:blip xmlns:r="http://schemas.openxmlformats.org/officeDocument/2006/relationships" r:embed="rId1"/>
        <a:stretch>
          <a:fillRect/>
        </a:stretch>
      </xdr:blipFill>
      <xdr:spPr>
        <a:xfrm>
          <a:off x="13563964434" y="28040739"/>
          <a:ext cx="1357868" cy="1214949"/>
        </a:xfrm>
        <a:prstGeom prst="rect">
          <a:avLst/>
        </a:prstGeom>
      </xdr:spPr>
    </xdr:pic>
    <xdr:clientData/>
  </xdr:twoCellAnchor>
  <xdr:twoCellAnchor>
    <xdr:from>
      <xdr:col>3</xdr:col>
      <xdr:colOff>666667</xdr:colOff>
      <xdr:row>137</xdr:row>
      <xdr:rowOff>10000</xdr:rowOff>
    </xdr:from>
    <xdr:to>
      <xdr:col>5</xdr:col>
      <xdr:colOff>673334</xdr:colOff>
      <xdr:row>141</xdr:row>
      <xdr:rowOff>93333</xdr:rowOff>
    </xdr:to>
    <xdr:sp macro="" textlink="">
      <xdr:nvSpPr>
        <xdr:cNvPr id="7" name="Rounded Rectangular Callout 6">
          <a:extLst>
            <a:ext uri="{FF2B5EF4-FFF2-40B4-BE49-F238E27FC236}">
              <a16:creationId xmlns:a16="http://schemas.microsoft.com/office/drawing/2014/main" id="{4FB8B903-F9E3-8541-AF6D-2A4FD34F8340}"/>
            </a:ext>
          </a:extLst>
        </xdr:cNvPr>
        <xdr:cNvSpPr/>
      </xdr:nvSpPr>
      <xdr:spPr>
        <a:xfrm>
          <a:off x="13520191166" y="27696000"/>
          <a:ext cx="1657667" cy="896133"/>
        </a:xfrm>
        <a:prstGeom prst="wedgeRoundRectCallout">
          <a:avLst>
            <a:gd name="adj1" fmla="val -75050"/>
            <a:gd name="adj2" fmla="val 29414"/>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אל תשאל מה קרה למשה, הוא אכל נקניק ומסתבר שהיה בתוכו שעון</a:t>
          </a:r>
          <a:endParaRPr lang="en-US" sz="1100"/>
        </a:p>
      </xdr:txBody>
    </xdr:sp>
    <xdr:clientData/>
  </xdr:twoCellAnchor>
  <xdr:twoCellAnchor editAs="oneCell">
    <xdr:from>
      <xdr:col>7</xdr:col>
      <xdr:colOff>71902</xdr:colOff>
      <xdr:row>84</xdr:row>
      <xdr:rowOff>10160</xdr:rowOff>
    </xdr:from>
    <xdr:to>
      <xdr:col>9</xdr:col>
      <xdr:colOff>502920</xdr:colOff>
      <xdr:row>93</xdr:row>
      <xdr:rowOff>119380</xdr:rowOff>
    </xdr:to>
    <xdr:pic>
      <xdr:nvPicPr>
        <xdr:cNvPr id="8" name="Picture 7">
          <a:extLst>
            <a:ext uri="{FF2B5EF4-FFF2-40B4-BE49-F238E27FC236}">
              <a16:creationId xmlns:a16="http://schemas.microsoft.com/office/drawing/2014/main" id="{C8A3EC4A-1722-D511-2A11-3A95E7CFCF36}"/>
            </a:ext>
          </a:extLst>
        </xdr:cNvPr>
        <xdr:cNvPicPr>
          <a:picLocks noChangeAspect="1"/>
        </xdr:cNvPicPr>
      </xdr:nvPicPr>
      <xdr:blipFill>
        <a:blip xmlns:r="http://schemas.openxmlformats.org/officeDocument/2006/relationships" r:embed="rId2"/>
        <a:stretch>
          <a:fillRect/>
        </a:stretch>
      </xdr:blipFill>
      <xdr:spPr>
        <a:xfrm>
          <a:off x="13558652080" y="17109440"/>
          <a:ext cx="2087098" cy="1938020"/>
        </a:xfrm>
        <a:prstGeom prst="rect">
          <a:avLst/>
        </a:prstGeom>
      </xdr:spPr>
    </xdr:pic>
    <xdr:clientData/>
  </xdr:twoCellAnchor>
  <xdr:twoCellAnchor>
    <xdr:from>
      <xdr:col>2</xdr:col>
      <xdr:colOff>673653</xdr:colOff>
      <xdr:row>104</xdr:row>
      <xdr:rowOff>149087</xdr:rowOff>
    </xdr:from>
    <xdr:to>
      <xdr:col>3</xdr:col>
      <xdr:colOff>193262</xdr:colOff>
      <xdr:row>104</xdr:row>
      <xdr:rowOff>149087</xdr:rowOff>
    </xdr:to>
    <xdr:cxnSp macro="">
      <xdr:nvCxnSpPr>
        <xdr:cNvPr id="10" name="Straight Arrow Connector 9">
          <a:extLst>
            <a:ext uri="{FF2B5EF4-FFF2-40B4-BE49-F238E27FC236}">
              <a16:creationId xmlns:a16="http://schemas.microsoft.com/office/drawing/2014/main" id="{DBA87ABD-6A7F-6C3D-17AA-7E45BA9D7ADC}"/>
            </a:ext>
          </a:extLst>
        </xdr:cNvPr>
        <xdr:cNvCxnSpPr/>
      </xdr:nvCxnSpPr>
      <xdr:spPr>
        <a:xfrm flipH="1">
          <a:off x="13567548043" y="21418826"/>
          <a:ext cx="347870" cy="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193262</xdr:colOff>
      <xdr:row>104</xdr:row>
      <xdr:rowOff>176696</xdr:rowOff>
    </xdr:from>
    <xdr:to>
      <xdr:col>3</xdr:col>
      <xdr:colOff>198783</xdr:colOff>
      <xdr:row>107</xdr:row>
      <xdr:rowOff>132522</xdr:rowOff>
    </xdr:to>
    <xdr:cxnSp macro="">
      <xdr:nvCxnSpPr>
        <xdr:cNvPr id="11" name="Straight Arrow Connector 10">
          <a:extLst>
            <a:ext uri="{FF2B5EF4-FFF2-40B4-BE49-F238E27FC236}">
              <a16:creationId xmlns:a16="http://schemas.microsoft.com/office/drawing/2014/main" id="{10094EE2-8FEE-AEC5-E2A0-A2A3E908E306}"/>
            </a:ext>
          </a:extLst>
        </xdr:cNvPr>
        <xdr:cNvCxnSpPr/>
      </xdr:nvCxnSpPr>
      <xdr:spPr>
        <a:xfrm>
          <a:off x="13567542522" y="21446435"/>
          <a:ext cx="5521" cy="568739"/>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640523</xdr:colOff>
      <xdr:row>104</xdr:row>
      <xdr:rowOff>115957</xdr:rowOff>
    </xdr:from>
    <xdr:to>
      <xdr:col>5</xdr:col>
      <xdr:colOff>160132</xdr:colOff>
      <xdr:row>104</xdr:row>
      <xdr:rowOff>115957</xdr:rowOff>
    </xdr:to>
    <xdr:cxnSp macro="">
      <xdr:nvCxnSpPr>
        <xdr:cNvPr id="13" name="Straight Arrow Connector 12">
          <a:extLst>
            <a:ext uri="{FF2B5EF4-FFF2-40B4-BE49-F238E27FC236}">
              <a16:creationId xmlns:a16="http://schemas.microsoft.com/office/drawing/2014/main" id="{83A5B3A5-E9A6-9743-E716-D454E4D4141C}"/>
            </a:ext>
          </a:extLst>
        </xdr:cNvPr>
        <xdr:cNvCxnSpPr/>
      </xdr:nvCxnSpPr>
      <xdr:spPr>
        <a:xfrm flipH="1">
          <a:off x="13565924651" y="21385696"/>
          <a:ext cx="347870" cy="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149088</xdr:colOff>
      <xdr:row>104</xdr:row>
      <xdr:rowOff>115956</xdr:rowOff>
    </xdr:from>
    <xdr:to>
      <xdr:col>5</xdr:col>
      <xdr:colOff>154609</xdr:colOff>
      <xdr:row>107</xdr:row>
      <xdr:rowOff>71782</xdr:rowOff>
    </xdr:to>
    <xdr:cxnSp macro="">
      <xdr:nvCxnSpPr>
        <xdr:cNvPr id="14" name="Straight Arrow Connector 13">
          <a:extLst>
            <a:ext uri="{FF2B5EF4-FFF2-40B4-BE49-F238E27FC236}">
              <a16:creationId xmlns:a16="http://schemas.microsoft.com/office/drawing/2014/main" id="{E4BA5862-E38E-2B48-BCBA-201CFE624020}"/>
            </a:ext>
          </a:extLst>
        </xdr:cNvPr>
        <xdr:cNvCxnSpPr/>
      </xdr:nvCxnSpPr>
      <xdr:spPr>
        <a:xfrm>
          <a:off x="13565930174" y="21385695"/>
          <a:ext cx="5521" cy="568739"/>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6</xdr:col>
      <xdr:colOff>2775</xdr:colOff>
      <xdr:row>145</xdr:row>
      <xdr:rowOff>193261</xdr:rowOff>
    </xdr:from>
    <xdr:to>
      <xdr:col>7</xdr:col>
      <xdr:colOff>504135</xdr:colOff>
      <xdr:row>155</xdr:row>
      <xdr:rowOff>61843</xdr:rowOff>
    </xdr:to>
    <xdr:pic>
      <xdr:nvPicPr>
        <xdr:cNvPr id="15" name="Picture 14">
          <a:extLst>
            <a:ext uri="{FF2B5EF4-FFF2-40B4-BE49-F238E27FC236}">
              <a16:creationId xmlns:a16="http://schemas.microsoft.com/office/drawing/2014/main" id="{CEF50507-8775-E171-87A5-648814F3DED4}"/>
            </a:ext>
          </a:extLst>
        </xdr:cNvPr>
        <xdr:cNvPicPr>
          <a:picLocks noChangeAspect="1"/>
        </xdr:cNvPicPr>
      </xdr:nvPicPr>
      <xdr:blipFill>
        <a:blip xmlns:r="http://schemas.openxmlformats.org/officeDocument/2006/relationships" r:embed="rId3"/>
        <a:stretch>
          <a:fillRect/>
        </a:stretch>
      </xdr:blipFill>
      <xdr:spPr>
        <a:xfrm>
          <a:off x="13563924126" y="29861565"/>
          <a:ext cx="1329621" cy="1911626"/>
        </a:xfrm>
        <a:prstGeom prst="rect">
          <a:avLst/>
        </a:prstGeom>
      </xdr:spPr>
    </xdr:pic>
    <xdr:clientData/>
  </xdr:twoCellAnchor>
  <xdr:twoCellAnchor editAs="oneCell">
    <xdr:from>
      <xdr:col>7</xdr:col>
      <xdr:colOff>777601</xdr:colOff>
      <xdr:row>137</xdr:row>
      <xdr:rowOff>93869</xdr:rowOff>
    </xdr:from>
    <xdr:to>
      <xdr:col>10</xdr:col>
      <xdr:colOff>754824</xdr:colOff>
      <xdr:row>153</xdr:row>
      <xdr:rowOff>87795</xdr:rowOff>
    </xdr:to>
    <xdr:pic>
      <xdr:nvPicPr>
        <xdr:cNvPr id="16" name="Picture 15">
          <a:extLst>
            <a:ext uri="{FF2B5EF4-FFF2-40B4-BE49-F238E27FC236}">
              <a16:creationId xmlns:a16="http://schemas.microsoft.com/office/drawing/2014/main" id="{2A50FADC-E38E-2783-AED5-E0C692929CE3}"/>
            </a:ext>
          </a:extLst>
        </xdr:cNvPr>
        <xdr:cNvPicPr>
          <a:picLocks noChangeAspect="1"/>
        </xdr:cNvPicPr>
      </xdr:nvPicPr>
      <xdr:blipFill>
        <a:blip xmlns:r="http://schemas.openxmlformats.org/officeDocument/2006/relationships" r:embed="rId4"/>
        <a:stretch>
          <a:fillRect/>
        </a:stretch>
      </xdr:blipFill>
      <xdr:spPr>
        <a:xfrm>
          <a:off x="13561188655" y="28127739"/>
          <a:ext cx="2462005" cy="3262795"/>
        </a:xfrm>
        <a:prstGeom prst="rect">
          <a:avLst/>
        </a:prstGeom>
      </xdr:spPr>
    </xdr:pic>
    <xdr:clientData/>
  </xdr:twoCellAnchor>
</xdr:wsDr>
</file>

<file path=xl/persons/person.xml><?xml version="1.0" encoding="utf-8"?>
<personList xmlns="http://schemas.microsoft.com/office/spreadsheetml/2018/threadedcomments" xmlns:x="http://schemas.openxmlformats.org/spreadsheetml/2006/main">
  <person displayName="Shay Tsaban" id="{2F25A2BC-A968-EC4F-A7FA-D47CCD9F0152}" userId="S::shay.tsaban@pac.org.il::d36e78f1-dfc2-409f-be3b-fc391b89361e" providerId="AD"/>
</personList>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threadedComments/threadedComment1.xml><?xml version="1.0" encoding="utf-8"?>
<ThreadedComments xmlns="http://schemas.microsoft.com/office/spreadsheetml/2018/threadedcomments" xmlns:x="http://schemas.openxmlformats.org/spreadsheetml/2006/main">
  <threadedComment ref="L98" dT="2025-05-15T12:09:21.87" personId="{2F25A2BC-A968-EC4F-A7FA-D47CCD9F0152}" id="{066BA13C-B1EF-3644-926A-8746094D2EB0}">
    <text>בשנת 2009, לא הוגדר ערך שייר / גרט. לעומת זאת, ב-2010 הוגדר גרט בסך 150. לכן, יש להוסיף לתזרימי המזומנים התפעוליים מהנכס גם את שווי השייר שצפוי להתקבל כתזרים נוסף יחד עם ההכנסות נטו בשנה האחרונה.</text>
  </threadedComment>
</ThreadedComments>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mailto:shay.tsaban@gmail.com" TargetMode="Externa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3.xml.rels><?xml version="1.0" encoding="UTF-8" standalone="yes"?>
<Relationships xmlns="http://schemas.openxmlformats.org/package/2006/relationships"><Relationship Id="rId1" Type="http://schemas.openxmlformats.org/officeDocument/2006/relationships/hyperlink" Target="https://quizizz.com/join/quiz/6284c99ce213d0001ddcef6f/start?from=admin&amp;parentGame=6284ecce7f263f001f716807" TargetMode="External"/></Relationships>
</file>

<file path=xl/worksheets/_rels/sheet14.xml.rels><?xml version="1.0" encoding="UTF-8" standalone="yes"?>
<Relationships xmlns="http://schemas.openxmlformats.org/package/2006/relationships"><Relationship Id="rId1" Type="http://schemas.openxmlformats.org/officeDocument/2006/relationships/hyperlink" Target="https://quizizz.com/join/quiz/628e03b717f46c001ec5b118/start?from=admin&amp;parentGame=628e284b361cb7001db49a8d" TargetMode="Externa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7.xml"/><Relationship Id="rId4" Type="http://schemas.microsoft.com/office/2017/10/relationships/threadedComment" Target="../threadedComments/threadedComment1.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114463-8E2D-DE40-A14A-E95275BA117E}">
  <dimension ref="A1:H200"/>
  <sheetViews>
    <sheetView rightToLeft="1" topLeftCell="A189" zoomScale="339" zoomScaleNormal="380" workbookViewId="0">
      <selection activeCell="E191" sqref="E191"/>
    </sheetView>
  </sheetViews>
  <sheetFormatPr baseColWidth="10" defaultRowHeight="16" x14ac:dyDescent="0.2"/>
  <cols>
    <col min="1" max="4" width="10.83203125" style="1"/>
    <col min="5" max="5" width="11.1640625" style="1" bestFit="1" customWidth="1"/>
    <col min="6" max="6" width="11.6640625" style="1" bestFit="1" customWidth="1"/>
    <col min="7" max="7" width="10.83203125" style="1"/>
    <col min="8" max="8" width="12.33203125" style="1" customWidth="1"/>
    <col min="9" max="16384" width="10.83203125" style="1"/>
  </cols>
  <sheetData>
    <row r="1" spans="1:8" x14ac:dyDescent="0.2">
      <c r="A1" s="3" t="s">
        <v>0</v>
      </c>
      <c r="B1" s="3"/>
      <c r="C1" s="3"/>
      <c r="D1" s="3"/>
      <c r="E1" s="3"/>
      <c r="F1" s="3"/>
      <c r="G1" s="3"/>
      <c r="H1" s="3"/>
    </row>
    <row r="2" spans="1:8" ht="17" thickBot="1" x14ac:dyDescent="0.25"/>
    <row r="3" spans="1:8" x14ac:dyDescent="0.2">
      <c r="A3" s="4" t="s">
        <v>1</v>
      </c>
      <c r="B3" s="5" t="s">
        <v>2</v>
      </c>
      <c r="C3" s="5"/>
      <c r="D3" s="5"/>
      <c r="E3" s="5"/>
      <c r="F3" s="5"/>
      <c r="G3" s="5"/>
      <c r="H3" s="6"/>
    </row>
    <row r="4" spans="1:8" x14ac:dyDescent="0.2">
      <c r="A4" s="7" t="s">
        <v>5</v>
      </c>
      <c r="C4" s="8" t="s">
        <v>3</v>
      </c>
      <c r="H4" s="9"/>
    </row>
    <row r="5" spans="1:8" x14ac:dyDescent="0.2">
      <c r="A5" s="7" t="s">
        <v>6</v>
      </c>
      <c r="C5" s="1" t="s">
        <v>4</v>
      </c>
      <c r="H5" s="9"/>
    </row>
    <row r="6" spans="1:8" x14ac:dyDescent="0.2">
      <c r="A6" s="7" t="s">
        <v>7</v>
      </c>
      <c r="C6" s="1" t="s">
        <v>8</v>
      </c>
      <c r="H6" s="9"/>
    </row>
    <row r="7" spans="1:8" ht="17" thickBot="1" x14ac:dyDescent="0.25">
      <c r="A7" s="10" t="s">
        <v>9</v>
      </c>
      <c r="B7" s="11"/>
      <c r="C7" s="11" t="s">
        <v>10</v>
      </c>
      <c r="D7" s="11"/>
      <c r="E7" s="11"/>
      <c r="F7" s="11"/>
      <c r="G7" s="11"/>
      <c r="H7" s="12"/>
    </row>
    <row r="8" spans="1:8" ht="17" thickBot="1" x14ac:dyDescent="0.25"/>
    <row r="9" spans="1:8" x14ac:dyDescent="0.2">
      <c r="A9" s="13" t="s">
        <v>11</v>
      </c>
      <c r="B9" s="5"/>
      <c r="C9" s="5"/>
      <c r="D9" s="5"/>
      <c r="E9" s="5"/>
      <c r="F9" s="5"/>
      <c r="G9" s="5"/>
      <c r="H9" s="6"/>
    </row>
    <row r="10" spans="1:8" x14ac:dyDescent="0.2">
      <c r="A10" s="7" t="s">
        <v>12</v>
      </c>
      <c r="H10" s="9"/>
    </row>
    <row r="11" spans="1:8" x14ac:dyDescent="0.2">
      <c r="A11" s="7" t="s">
        <v>13</v>
      </c>
      <c r="H11" s="9"/>
    </row>
    <row r="12" spans="1:8" x14ac:dyDescent="0.2">
      <c r="A12" s="7" t="s">
        <v>14</v>
      </c>
      <c r="H12" s="9"/>
    </row>
    <row r="13" spans="1:8" x14ac:dyDescent="0.2">
      <c r="A13" s="7" t="s">
        <v>15</v>
      </c>
      <c r="H13" s="9"/>
    </row>
    <row r="14" spans="1:8" x14ac:dyDescent="0.2">
      <c r="A14" s="7"/>
      <c r="H14" s="9" t="s">
        <v>16</v>
      </c>
    </row>
    <row r="15" spans="1:8" x14ac:dyDescent="0.2">
      <c r="A15" s="7"/>
      <c r="H15" s="9" t="s">
        <v>17</v>
      </c>
    </row>
    <row r="16" spans="1:8" ht="17" thickBot="1" x14ac:dyDescent="0.25">
      <c r="A16" s="10"/>
      <c r="B16" s="11"/>
      <c r="C16" s="11"/>
      <c r="D16" s="11"/>
      <c r="E16" s="11"/>
      <c r="F16" s="11"/>
      <c r="G16" s="11"/>
      <c r="H16" s="12" t="s">
        <v>18</v>
      </c>
    </row>
    <row r="17" spans="1:8" ht="17" thickBot="1" x14ac:dyDescent="0.25"/>
    <row r="18" spans="1:8" x14ac:dyDescent="0.2">
      <c r="A18" s="13" t="s">
        <v>19</v>
      </c>
      <c r="B18" s="5"/>
      <c r="C18" s="5"/>
      <c r="D18" s="5"/>
      <c r="E18" s="5"/>
      <c r="F18" s="5"/>
      <c r="G18" s="5"/>
      <c r="H18" s="6"/>
    </row>
    <row r="19" spans="1:8" x14ac:dyDescent="0.2">
      <c r="A19" s="7" t="s">
        <v>20</v>
      </c>
      <c r="H19" s="9"/>
    </row>
    <row r="20" spans="1:8" x14ac:dyDescent="0.2">
      <c r="A20" s="7" t="s">
        <v>21</v>
      </c>
      <c r="H20" s="9"/>
    </row>
    <row r="21" spans="1:8" x14ac:dyDescent="0.2">
      <c r="A21" s="7" t="s">
        <v>22</v>
      </c>
      <c r="H21" s="9"/>
    </row>
    <row r="22" spans="1:8" x14ac:dyDescent="0.2">
      <c r="A22" s="7" t="s">
        <v>23</v>
      </c>
      <c r="H22" s="9"/>
    </row>
    <row r="23" spans="1:8" x14ac:dyDescent="0.2">
      <c r="A23" s="7" t="s">
        <v>24</v>
      </c>
      <c r="H23" s="9"/>
    </row>
    <row r="24" spans="1:8" x14ac:dyDescent="0.2">
      <c r="A24" s="7" t="s">
        <v>25</v>
      </c>
      <c r="H24" s="9"/>
    </row>
    <row r="25" spans="1:8" ht="17" thickBot="1" x14ac:dyDescent="0.25">
      <c r="A25" s="10" t="s">
        <v>26</v>
      </c>
      <c r="B25" s="11"/>
      <c r="C25" s="11"/>
      <c r="D25" s="11"/>
      <c r="E25" s="11"/>
      <c r="F25" s="11"/>
      <c r="G25" s="11"/>
      <c r="H25" s="12"/>
    </row>
    <row r="27" spans="1:8" x14ac:dyDescent="0.2">
      <c r="A27" s="310" t="s">
        <v>27</v>
      </c>
      <c r="B27" s="310"/>
      <c r="C27" s="310"/>
      <c r="D27" s="310"/>
      <c r="E27" s="310"/>
      <c r="F27" s="310"/>
      <c r="G27" s="310"/>
      <c r="H27" s="310"/>
    </row>
    <row r="29" spans="1:8" x14ac:dyDescent="0.2">
      <c r="A29" s="1" t="s">
        <v>28</v>
      </c>
    </row>
    <row r="30" spans="1:8" x14ac:dyDescent="0.2">
      <c r="A30" s="1" t="s">
        <v>29</v>
      </c>
    </row>
    <row r="31" spans="1:8" x14ac:dyDescent="0.2">
      <c r="A31" s="1" t="s">
        <v>30</v>
      </c>
    </row>
    <row r="32" spans="1:8" x14ac:dyDescent="0.2">
      <c r="A32" s="1" t="s">
        <v>34</v>
      </c>
      <c r="B32" s="1" t="s">
        <v>31</v>
      </c>
    </row>
    <row r="33" spans="1:8" x14ac:dyDescent="0.2">
      <c r="B33" s="1" t="s">
        <v>32</v>
      </c>
    </row>
    <row r="34" spans="1:8" x14ac:dyDescent="0.2">
      <c r="B34" s="1" t="s">
        <v>33</v>
      </c>
    </row>
    <row r="36" spans="1:8" x14ac:dyDescent="0.2">
      <c r="A36" s="14" t="s">
        <v>35</v>
      </c>
      <c r="B36" s="14"/>
      <c r="C36" s="14"/>
      <c r="D36" s="14"/>
      <c r="E36" s="14"/>
      <c r="F36" s="14"/>
      <c r="G36" s="14"/>
      <c r="H36" s="14"/>
    </row>
    <row r="43" spans="1:8" x14ac:dyDescent="0.2">
      <c r="A43" s="1" t="s">
        <v>39</v>
      </c>
    </row>
    <row r="44" spans="1:8" x14ac:dyDescent="0.2">
      <c r="A44" s="1" t="s">
        <v>36</v>
      </c>
    </row>
    <row r="45" spans="1:8" x14ac:dyDescent="0.2">
      <c r="A45" s="1" t="s">
        <v>37</v>
      </c>
    </row>
    <row r="46" spans="1:8" x14ac:dyDescent="0.2">
      <c r="A46" s="1" t="s">
        <v>38</v>
      </c>
    </row>
    <row r="48" spans="1:8" x14ac:dyDescent="0.2">
      <c r="A48" s="1" t="s">
        <v>40</v>
      </c>
    </row>
    <row r="50" spans="1:2" x14ac:dyDescent="0.2">
      <c r="A50" s="1" t="s">
        <v>42</v>
      </c>
    </row>
    <row r="51" spans="1:2" x14ac:dyDescent="0.2">
      <c r="A51" s="1" t="s">
        <v>41</v>
      </c>
    </row>
    <row r="53" spans="1:2" x14ac:dyDescent="0.2">
      <c r="A53" s="1" t="s">
        <v>43</v>
      </c>
    </row>
    <row r="55" spans="1:2" x14ac:dyDescent="0.2">
      <c r="A55" s="15" t="s">
        <v>45</v>
      </c>
    </row>
    <row r="56" spans="1:2" x14ac:dyDescent="0.2">
      <c r="A56" s="1" t="s">
        <v>44</v>
      </c>
    </row>
    <row r="61" spans="1:2" x14ac:dyDescent="0.2">
      <c r="A61" s="2" t="s">
        <v>46</v>
      </c>
    </row>
    <row r="62" spans="1:2" x14ac:dyDescent="0.2">
      <c r="B62" s="1" t="s">
        <v>47</v>
      </c>
    </row>
    <row r="63" spans="1:2" x14ac:dyDescent="0.2">
      <c r="B63" s="1" t="s">
        <v>48</v>
      </c>
    </row>
    <row r="64" spans="1:2" ht="17" thickBot="1" x14ac:dyDescent="0.25"/>
    <row r="65" spans="1:8" ht="17" thickBot="1" x14ac:dyDescent="0.25">
      <c r="A65" s="16" t="s">
        <v>49</v>
      </c>
      <c r="B65" s="17"/>
      <c r="C65" s="17"/>
      <c r="D65" s="17"/>
      <c r="E65" s="17"/>
      <c r="F65" s="17"/>
      <c r="G65" s="17"/>
      <c r="H65" s="18"/>
    </row>
    <row r="66" spans="1:8" x14ac:dyDescent="0.2">
      <c r="A66" s="1" t="s">
        <v>50</v>
      </c>
    </row>
    <row r="67" spans="1:8" x14ac:dyDescent="0.2">
      <c r="A67" s="1" t="s">
        <v>51</v>
      </c>
    </row>
    <row r="68" spans="1:8" x14ac:dyDescent="0.2">
      <c r="A68" s="1" t="s">
        <v>52</v>
      </c>
    </row>
    <row r="69" spans="1:8" x14ac:dyDescent="0.2">
      <c r="A69" s="1" t="s">
        <v>53</v>
      </c>
    </row>
    <row r="71" spans="1:8" ht="17" thickBot="1" x14ac:dyDescent="0.25">
      <c r="B71" s="11" t="s">
        <v>54</v>
      </c>
      <c r="C71" s="11" t="s">
        <v>55</v>
      </c>
      <c r="D71" s="11"/>
    </row>
    <row r="72" spans="1:8" x14ac:dyDescent="0.2">
      <c r="B72" s="1">
        <v>4</v>
      </c>
      <c r="C72" s="1" t="s">
        <v>56</v>
      </c>
    </row>
    <row r="73" spans="1:8" x14ac:dyDescent="0.2">
      <c r="B73" s="1">
        <v>1</v>
      </c>
      <c r="C73" s="1" t="s">
        <v>57</v>
      </c>
    </row>
    <row r="74" spans="1:8" x14ac:dyDescent="0.2">
      <c r="B74" s="1">
        <v>2</v>
      </c>
      <c r="C74" s="1" t="s">
        <v>58</v>
      </c>
    </row>
    <row r="75" spans="1:8" x14ac:dyDescent="0.2">
      <c r="B75" s="1">
        <v>3</v>
      </c>
      <c r="C75" s="1" t="s">
        <v>59</v>
      </c>
    </row>
    <row r="77" spans="1:8" x14ac:dyDescent="0.2">
      <c r="A77" s="1" t="s">
        <v>60</v>
      </c>
    </row>
    <row r="78" spans="1:8" x14ac:dyDescent="0.2">
      <c r="A78" s="1" t="s">
        <v>61</v>
      </c>
    </row>
    <row r="79" spans="1:8" x14ac:dyDescent="0.2">
      <c r="A79" s="1" t="s">
        <v>62</v>
      </c>
    </row>
    <row r="80" spans="1:8" x14ac:dyDescent="0.2">
      <c r="A80" s="1" t="s">
        <v>63</v>
      </c>
    </row>
    <row r="82" spans="1:8" ht="17" thickBot="1" x14ac:dyDescent="0.25">
      <c r="A82" s="11" t="s">
        <v>64</v>
      </c>
      <c r="B82" s="11" t="s">
        <v>66</v>
      </c>
      <c r="C82" s="11"/>
      <c r="D82" s="11"/>
      <c r="E82" s="11"/>
      <c r="F82" s="11"/>
      <c r="G82" s="11"/>
      <c r="H82" s="11"/>
    </row>
    <row r="83" spans="1:8" x14ac:dyDescent="0.2">
      <c r="A83" s="1" t="s">
        <v>65</v>
      </c>
      <c r="B83" s="1" t="s">
        <v>67</v>
      </c>
    </row>
    <row r="84" spans="1:8" x14ac:dyDescent="0.2">
      <c r="B84" s="1" t="s">
        <v>68</v>
      </c>
    </row>
    <row r="85" spans="1:8" x14ac:dyDescent="0.2">
      <c r="A85" s="1" t="s">
        <v>69</v>
      </c>
      <c r="B85" s="1" t="s">
        <v>70</v>
      </c>
    </row>
    <row r="86" spans="1:8" x14ac:dyDescent="0.2">
      <c r="A86" s="1" t="s">
        <v>71</v>
      </c>
      <c r="B86" s="1" t="s">
        <v>72</v>
      </c>
    </row>
    <row r="87" spans="1:8" x14ac:dyDescent="0.2">
      <c r="B87" s="1" t="s">
        <v>73</v>
      </c>
    </row>
    <row r="88" spans="1:8" x14ac:dyDescent="0.2">
      <c r="B88" s="1" t="s">
        <v>74</v>
      </c>
    </row>
    <row r="94" spans="1:8" x14ac:dyDescent="0.2">
      <c r="A94" s="1" t="s">
        <v>75</v>
      </c>
    </row>
    <row r="95" spans="1:8" ht="17" thickBot="1" x14ac:dyDescent="0.25"/>
    <row r="96" spans="1:8" ht="17" thickBot="1" x14ac:dyDescent="0.25">
      <c r="A96" s="16" t="s">
        <v>76</v>
      </c>
      <c r="B96" s="17"/>
      <c r="C96" s="17"/>
      <c r="D96" s="17"/>
      <c r="E96" s="17"/>
      <c r="F96" s="17"/>
      <c r="G96" s="17"/>
      <c r="H96" s="18"/>
    </row>
    <row r="98" spans="1:1" x14ac:dyDescent="0.2">
      <c r="A98" s="1" t="s">
        <v>77</v>
      </c>
    </row>
    <row r="99" spans="1:1" x14ac:dyDescent="0.2">
      <c r="A99" s="1" t="s">
        <v>78</v>
      </c>
    </row>
    <row r="100" spans="1:1" x14ac:dyDescent="0.2">
      <c r="A100" s="1" t="s">
        <v>79</v>
      </c>
    </row>
    <row r="101" spans="1:1" x14ac:dyDescent="0.2">
      <c r="A101" s="1" t="s">
        <v>60</v>
      </c>
    </row>
    <row r="102" spans="1:1" x14ac:dyDescent="0.2">
      <c r="A102" s="1" t="s">
        <v>80</v>
      </c>
    </row>
    <row r="103" spans="1:1" x14ac:dyDescent="0.2">
      <c r="A103" s="1" t="s">
        <v>81</v>
      </c>
    </row>
    <row r="104" spans="1:1" x14ac:dyDescent="0.2">
      <c r="A104" s="1" t="s">
        <v>82</v>
      </c>
    </row>
    <row r="105" spans="1:1" x14ac:dyDescent="0.2">
      <c r="A105" s="1" t="s">
        <v>83</v>
      </c>
    </row>
    <row r="106" spans="1:1" x14ac:dyDescent="0.2">
      <c r="A106" s="1" t="s">
        <v>84</v>
      </c>
    </row>
    <row r="107" spans="1:1" x14ac:dyDescent="0.2">
      <c r="A107" s="1" t="s">
        <v>85</v>
      </c>
    </row>
    <row r="109" spans="1:1" x14ac:dyDescent="0.2">
      <c r="A109" s="1" t="s">
        <v>86</v>
      </c>
    </row>
    <row r="110" spans="1:1" x14ac:dyDescent="0.2">
      <c r="A110" s="1" t="s">
        <v>87</v>
      </c>
    </row>
    <row r="111" spans="1:1" x14ac:dyDescent="0.2">
      <c r="A111" s="1" t="s">
        <v>88</v>
      </c>
    </row>
    <row r="112" spans="1:1" x14ac:dyDescent="0.2">
      <c r="A112" s="1" t="s">
        <v>89</v>
      </c>
    </row>
    <row r="113" spans="1:6" x14ac:dyDescent="0.2">
      <c r="A113" s="1" t="s">
        <v>92</v>
      </c>
    </row>
    <row r="115" spans="1:6" x14ac:dyDescent="0.2">
      <c r="D115" s="19"/>
      <c r="E115" s="19" t="s">
        <v>90</v>
      </c>
      <c r="F115" s="19" t="s">
        <v>91</v>
      </c>
    </row>
    <row r="116" spans="1:6" ht="17" thickBot="1" x14ac:dyDescent="0.25">
      <c r="B116" s="11" t="s">
        <v>93</v>
      </c>
      <c r="C116" s="11"/>
      <c r="D116" s="20">
        <v>45657</v>
      </c>
      <c r="E116" s="20">
        <v>46387</v>
      </c>
      <c r="F116" s="20">
        <v>46387</v>
      </c>
    </row>
    <row r="117" spans="1:6" x14ac:dyDescent="0.2">
      <c r="A117" s="1" t="s">
        <v>95</v>
      </c>
      <c r="B117" s="1" t="s">
        <v>94</v>
      </c>
      <c r="D117" s="21">
        <v>1000000</v>
      </c>
      <c r="E117" s="21">
        <v>1000000</v>
      </c>
      <c r="F117" s="21">
        <v>1000000</v>
      </c>
    </row>
    <row r="118" spans="1:6" x14ac:dyDescent="0.2">
      <c r="A118" s="1" t="s">
        <v>98</v>
      </c>
      <c r="B118" s="1" t="s">
        <v>96</v>
      </c>
      <c r="D118" s="21">
        <f>-1000000/50*5</f>
        <v>-100000</v>
      </c>
      <c r="E118" s="21">
        <f>-1000000/50*7</f>
        <v>-140000</v>
      </c>
      <c r="F118" s="21">
        <f>E118</f>
        <v>-140000</v>
      </c>
    </row>
    <row r="119" spans="1:6" x14ac:dyDescent="0.2">
      <c r="A119" s="1" t="s">
        <v>98</v>
      </c>
      <c r="B119" s="1" t="s">
        <v>97</v>
      </c>
      <c r="D119" s="21">
        <v>0</v>
      </c>
      <c r="E119" s="21">
        <v>0</v>
      </c>
      <c r="F119" s="21">
        <f>F120-E120</f>
        <v>-160000</v>
      </c>
    </row>
    <row r="120" spans="1:6" x14ac:dyDescent="0.2">
      <c r="B120" s="1" t="s">
        <v>99</v>
      </c>
      <c r="D120" s="22">
        <f>SUM(D117:D119)</f>
        <v>900000</v>
      </c>
      <c r="E120" s="22">
        <f>SUM(E117:E119)</f>
        <v>860000</v>
      </c>
      <c r="F120" s="27">
        <f>G150</f>
        <v>700000</v>
      </c>
    </row>
    <row r="122" spans="1:6" s="19" customFormat="1" x14ac:dyDescent="0.2">
      <c r="B122" s="19" t="s">
        <v>100</v>
      </c>
      <c r="D122" s="21">
        <f>1000000/50</f>
        <v>20000</v>
      </c>
      <c r="E122" s="21">
        <f>D122</f>
        <v>20000</v>
      </c>
      <c r="F122" s="21">
        <f>E122</f>
        <v>20000</v>
      </c>
    </row>
    <row r="123" spans="1:6" s="19" customFormat="1" x14ac:dyDescent="0.2">
      <c r="B123" s="28" t="s">
        <v>136</v>
      </c>
      <c r="D123" s="21"/>
      <c r="E123" s="21"/>
      <c r="F123" s="21">
        <f>-F119</f>
        <v>160000</v>
      </c>
    </row>
    <row r="125" spans="1:6" x14ac:dyDescent="0.2">
      <c r="A125" s="1" t="s">
        <v>101</v>
      </c>
    </row>
    <row r="126" spans="1:6" x14ac:dyDescent="0.2">
      <c r="A126" s="1" t="s">
        <v>102</v>
      </c>
    </row>
    <row r="127" spans="1:6" x14ac:dyDescent="0.2">
      <c r="A127" s="1" t="s">
        <v>103</v>
      </c>
    </row>
    <row r="128" spans="1:6" x14ac:dyDescent="0.2">
      <c r="A128" s="1" t="s">
        <v>104</v>
      </c>
      <c r="C128" s="1" t="s">
        <v>105</v>
      </c>
      <c r="D128" s="23">
        <v>20000</v>
      </c>
    </row>
    <row r="129" spans="1:7" x14ac:dyDescent="0.2">
      <c r="C129" s="1" t="s">
        <v>106</v>
      </c>
      <c r="D129" s="1">
        <v>43</v>
      </c>
      <c r="E129" s="1" t="s">
        <v>107</v>
      </c>
    </row>
    <row r="130" spans="1:7" x14ac:dyDescent="0.2">
      <c r="C130" s="1" t="s">
        <v>108</v>
      </c>
      <c r="D130" s="24">
        <v>0.05</v>
      </c>
      <c r="E130" s="1" t="s">
        <v>109</v>
      </c>
    </row>
    <row r="132" spans="1:7" x14ac:dyDescent="0.2">
      <c r="A132" s="1" t="s">
        <v>123</v>
      </c>
    </row>
    <row r="133" spans="1:7" x14ac:dyDescent="0.2">
      <c r="A133" s="1" t="s">
        <v>110</v>
      </c>
    </row>
    <row r="134" spans="1:7" x14ac:dyDescent="0.2">
      <c r="A134" s="1" t="s">
        <v>111</v>
      </c>
    </row>
    <row r="136" spans="1:7" x14ac:dyDescent="0.2">
      <c r="A136" s="1" t="s">
        <v>112</v>
      </c>
    </row>
    <row r="138" spans="1:7" x14ac:dyDescent="0.2">
      <c r="C138" s="1" t="s">
        <v>118</v>
      </c>
      <c r="F138" s="24">
        <v>0.05</v>
      </c>
      <c r="G138" s="1" t="s">
        <v>113</v>
      </c>
    </row>
    <row r="139" spans="1:7" x14ac:dyDescent="0.2">
      <c r="C139" s="1" t="s">
        <v>119</v>
      </c>
      <c r="F139" s="1">
        <v>43</v>
      </c>
      <c r="G139" s="1" t="s">
        <v>114</v>
      </c>
    </row>
    <row r="140" spans="1:7" x14ac:dyDescent="0.2">
      <c r="C140" s="1" t="s">
        <v>120</v>
      </c>
      <c r="F140" s="23">
        <f>D128</f>
        <v>20000</v>
      </c>
      <c r="G140" s="1" t="s">
        <v>115</v>
      </c>
    </row>
    <row r="141" spans="1:7" x14ac:dyDescent="0.2">
      <c r="C141" s="1" t="s">
        <v>122</v>
      </c>
      <c r="F141" s="25">
        <f>PV(F138,F139,F140,F142)</f>
        <v>-350918.23956798518</v>
      </c>
      <c r="G141" s="1" t="s">
        <v>116</v>
      </c>
    </row>
    <row r="142" spans="1:7" x14ac:dyDescent="0.2">
      <c r="C142" s="1" t="s">
        <v>121</v>
      </c>
      <c r="F142" s="1">
        <v>0</v>
      </c>
      <c r="G142" s="1" t="s">
        <v>117</v>
      </c>
    </row>
    <row r="144" spans="1:7" x14ac:dyDescent="0.2">
      <c r="A144" s="1" t="s">
        <v>124</v>
      </c>
    </row>
    <row r="145" spans="1:8" x14ac:dyDescent="0.2">
      <c r="A145" s="1" t="s">
        <v>125</v>
      </c>
    </row>
    <row r="146" spans="1:8" x14ac:dyDescent="0.2">
      <c r="A146" s="1" t="s">
        <v>126</v>
      </c>
    </row>
    <row r="148" spans="1:8" x14ac:dyDescent="0.2">
      <c r="A148" s="1" t="s">
        <v>127</v>
      </c>
      <c r="C148" s="1" t="s">
        <v>128</v>
      </c>
      <c r="G148" s="23">
        <v>700000</v>
      </c>
    </row>
    <row r="149" spans="1:8" x14ac:dyDescent="0.2">
      <c r="C149" s="1" t="s">
        <v>129</v>
      </c>
      <c r="G149" s="23">
        <f>-F141</f>
        <v>350918.23956798518</v>
      </c>
    </row>
    <row r="150" spans="1:8" x14ac:dyDescent="0.2">
      <c r="C150" s="1" t="s">
        <v>130</v>
      </c>
      <c r="G150" s="26">
        <f>G148</f>
        <v>700000</v>
      </c>
      <c r="H150" s="1" t="s">
        <v>131</v>
      </c>
    </row>
    <row r="152" spans="1:8" x14ac:dyDescent="0.2">
      <c r="A152" s="2" t="s">
        <v>132</v>
      </c>
    </row>
    <row r="153" spans="1:8" x14ac:dyDescent="0.2">
      <c r="A153" s="1" t="s">
        <v>133</v>
      </c>
    </row>
    <row r="154" spans="1:8" x14ac:dyDescent="0.2">
      <c r="A154" s="1" t="s">
        <v>134</v>
      </c>
    </row>
    <row r="155" spans="1:8" x14ac:dyDescent="0.2">
      <c r="A155" s="1" t="s">
        <v>135</v>
      </c>
    </row>
    <row r="160" spans="1:8" x14ac:dyDescent="0.2">
      <c r="A160" s="1" t="s">
        <v>137</v>
      </c>
    </row>
    <row r="161" spans="1:6" x14ac:dyDescent="0.2">
      <c r="A161" s="1" t="s">
        <v>138</v>
      </c>
    </row>
    <row r="162" spans="1:6" x14ac:dyDescent="0.2">
      <c r="A162" s="1" t="s">
        <v>139</v>
      </c>
    </row>
    <row r="163" spans="1:6" x14ac:dyDescent="0.2">
      <c r="A163" s="1" t="s">
        <v>140</v>
      </c>
    </row>
    <row r="164" spans="1:6" x14ac:dyDescent="0.2">
      <c r="A164" s="1" t="s">
        <v>141</v>
      </c>
    </row>
    <row r="165" spans="1:6" x14ac:dyDescent="0.2">
      <c r="A165" s="1" t="s">
        <v>142</v>
      </c>
    </row>
    <row r="166" spans="1:6" x14ac:dyDescent="0.2">
      <c r="A166" s="1" t="s">
        <v>143</v>
      </c>
    </row>
    <row r="167" spans="1:6" x14ac:dyDescent="0.2">
      <c r="A167" s="1" t="s">
        <v>144</v>
      </c>
    </row>
    <row r="168" spans="1:6" x14ac:dyDescent="0.2">
      <c r="A168" s="1" t="s">
        <v>145</v>
      </c>
    </row>
    <row r="170" spans="1:6" x14ac:dyDescent="0.2">
      <c r="A170" s="1" t="s">
        <v>146</v>
      </c>
    </row>
    <row r="172" spans="1:6" x14ac:dyDescent="0.2">
      <c r="B172" s="29" t="s">
        <v>147</v>
      </c>
      <c r="E172" s="29" t="s">
        <v>148</v>
      </c>
      <c r="F172" s="29" t="s">
        <v>149</v>
      </c>
    </row>
    <row r="173" spans="1:6" x14ac:dyDescent="0.2">
      <c r="B173" s="29" t="s">
        <v>150</v>
      </c>
      <c r="E173" s="30">
        <v>50000</v>
      </c>
      <c r="F173" s="29" t="s">
        <v>161</v>
      </c>
    </row>
    <row r="174" spans="1:6" x14ac:dyDescent="0.2">
      <c r="A174" s="1" t="s">
        <v>152</v>
      </c>
      <c r="B174" s="1" t="s">
        <v>151</v>
      </c>
      <c r="E174" s="23">
        <f>E182</f>
        <v>165289.25619834708</v>
      </c>
      <c r="F174" s="1" t="s">
        <v>162</v>
      </c>
    </row>
    <row r="175" spans="1:6" x14ac:dyDescent="0.2">
      <c r="B175" s="1" t="s">
        <v>163</v>
      </c>
      <c r="E175" s="23">
        <v>80000</v>
      </c>
    </row>
    <row r="176" spans="1:6" x14ac:dyDescent="0.2">
      <c r="B176" s="1" t="s">
        <v>185</v>
      </c>
      <c r="E176" s="23">
        <v>5000</v>
      </c>
    </row>
    <row r="178" spans="2:7" x14ac:dyDescent="0.2">
      <c r="B178" s="19" t="s">
        <v>152</v>
      </c>
      <c r="C178" s="1" t="s">
        <v>153</v>
      </c>
    </row>
    <row r="179" spans="2:7" x14ac:dyDescent="0.2">
      <c r="C179" s="1" t="s">
        <v>155</v>
      </c>
      <c r="E179" s="24">
        <v>0.1</v>
      </c>
      <c r="F179" s="1" t="s">
        <v>113</v>
      </c>
    </row>
    <row r="180" spans="2:7" x14ac:dyDescent="0.2">
      <c r="C180" s="1" t="s">
        <v>154</v>
      </c>
      <c r="E180" s="1">
        <v>2</v>
      </c>
      <c r="F180" s="1" t="s">
        <v>114</v>
      </c>
    </row>
    <row r="181" spans="2:7" x14ac:dyDescent="0.2">
      <c r="C181" s="1" t="s">
        <v>156</v>
      </c>
      <c r="E181" s="1">
        <v>0</v>
      </c>
      <c r="F181" s="1" t="s">
        <v>115</v>
      </c>
      <c r="G181" s="1" t="s">
        <v>157</v>
      </c>
    </row>
    <row r="182" spans="2:7" x14ac:dyDescent="0.2">
      <c r="C182" s="1" t="s">
        <v>160</v>
      </c>
      <c r="E182" s="31">
        <f>PV(E179,E180,E181,E183)</f>
        <v>165289.25619834708</v>
      </c>
      <c r="F182" s="1" t="s">
        <v>116</v>
      </c>
    </row>
    <row r="183" spans="2:7" x14ac:dyDescent="0.2">
      <c r="C183" s="1" t="s">
        <v>158</v>
      </c>
      <c r="E183" s="23">
        <v>-200000</v>
      </c>
      <c r="F183" s="1" t="s">
        <v>117</v>
      </c>
      <c r="G183" s="1" t="s">
        <v>159</v>
      </c>
    </row>
    <row r="186" spans="2:7" x14ac:dyDescent="0.2">
      <c r="B186" s="2" t="s">
        <v>164</v>
      </c>
    </row>
    <row r="187" spans="2:7" x14ac:dyDescent="0.2">
      <c r="B187" s="1" t="s">
        <v>165</v>
      </c>
    </row>
    <row r="188" spans="2:7" x14ac:dyDescent="0.2">
      <c r="B188" s="1" t="s">
        <v>166</v>
      </c>
    </row>
    <row r="189" spans="2:7" x14ac:dyDescent="0.2">
      <c r="B189" s="1" t="s">
        <v>167</v>
      </c>
    </row>
    <row r="190" spans="2:7" x14ac:dyDescent="0.2">
      <c r="B190" s="1" t="s">
        <v>168</v>
      </c>
    </row>
    <row r="191" spans="2:7" x14ac:dyDescent="0.2">
      <c r="B191" s="1" t="s">
        <v>169</v>
      </c>
    </row>
    <row r="193" spans="1:8" x14ac:dyDescent="0.2">
      <c r="A193" s="19"/>
      <c r="B193" s="19"/>
      <c r="C193" s="19"/>
      <c r="D193" s="19"/>
      <c r="E193" s="19"/>
      <c r="F193" s="19"/>
      <c r="G193" s="19"/>
      <c r="H193" s="19"/>
    </row>
    <row r="194" spans="1:8" x14ac:dyDescent="0.2">
      <c r="A194" s="19"/>
      <c r="B194" s="19"/>
      <c r="C194" s="19"/>
      <c r="D194" s="19"/>
      <c r="E194" s="19"/>
      <c r="F194" s="19"/>
      <c r="G194" s="19"/>
      <c r="H194" s="19"/>
    </row>
    <row r="195" spans="1:8" x14ac:dyDescent="0.2">
      <c r="A195" s="19" t="s">
        <v>182</v>
      </c>
      <c r="B195" s="19" t="s">
        <v>181</v>
      </c>
      <c r="C195" s="19" t="s">
        <v>179</v>
      </c>
      <c r="D195" s="19" t="s">
        <v>175</v>
      </c>
      <c r="E195" s="19" t="s">
        <v>173</v>
      </c>
      <c r="F195" s="19" t="s">
        <v>172</v>
      </c>
      <c r="G195" s="19" t="s">
        <v>171</v>
      </c>
      <c r="H195" s="19" t="s">
        <v>170</v>
      </c>
    </row>
    <row r="196" spans="1:8" x14ac:dyDescent="0.2">
      <c r="A196" s="19" t="s">
        <v>186</v>
      </c>
      <c r="B196" s="19"/>
      <c r="C196" s="19" t="s">
        <v>180</v>
      </c>
      <c r="D196" s="19" t="s">
        <v>176</v>
      </c>
      <c r="E196" s="19" t="s">
        <v>174</v>
      </c>
      <c r="F196" s="19"/>
      <c r="G196" s="19"/>
      <c r="H196" s="19"/>
    </row>
    <row r="199" spans="1:8" x14ac:dyDescent="0.2">
      <c r="A199" s="1" t="s">
        <v>183</v>
      </c>
      <c r="F199" s="1" t="s">
        <v>177</v>
      </c>
    </row>
    <row r="200" spans="1:8" x14ac:dyDescent="0.2">
      <c r="A200" s="1" t="s">
        <v>184</v>
      </c>
      <c r="F200" s="1" t="s">
        <v>178</v>
      </c>
    </row>
  </sheetData>
  <mergeCells count="1">
    <mergeCell ref="A27:H27"/>
  </mergeCells>
  <hyperlinks>
    <hyperlink ref="C4" r:id="rId1" xr:uid="{CF3CC791-4997-B14E-AA29-F26037EF7515}"/>
  </hyperlinks>
  <pageMargins left="0.7" right="0.7" top="0.75" bottom="0.75" header="0.3" footer="0.3"/>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E47E47F-1882-2847-B3B5-6C7D86F4A853}">
  <dimension ref="A1:T442"/>
  <sheetViews>
    <sheetView rightToLeft="1" zoomScale="181" zoomScaleNormal="220" workbookViewId="0">
      <selection activeCell="A14" sqref="A14"/>
    </sheetView>
  </sheetViews>
  <sheetFormatPr baseColWidth="10" defaultRowHeight="16" x14ac:dyDescent="0.2"/>
  <cols>
    <col min="1" max="2" width="10.83203125" style="1"/>
    <col min="3" max="3" width="10.5" style="1" customWidth="1"/>
    <col min="4" max="4" width="11.6640625" style="1" bestFit="1" customWidth="1"/>
    <col min="5" max="9" width="10.83203125" style="1"/>
    <col min="10" max="15" width="10.83203125" style="1" customWidth="1"/>
    <col min="16" max="16384" width="10.83203125" style="1"/>
  </cols>
  <sheetData>
    <row r="1" spans="1:20" x14ac:dyDescent="0.2">
      <c r="A1" s="3" t="s">
        <v>1401</v>
      </c>
      <c r="B1" s="3"/>
      <c r="C1" s="3"/>
      <c r="D1" s="3"/>
      <c r="E1" s="3"/>
      <c r="F1" s="3" t="s">
        <v>1652</v>
      </c>
      <c r="G1" s="3"/>
      <c r="H1" s="3"/>
    </row>
    <row r="3" spans="1:20" x14ac:dyDescent="0.2">
      <c r="A3" s="208" t="s">
        <v>1402</v>
      </c>
      <c r="B3" s="208"/>
      <c r="C3" s="208"/>
      <c r="D3" s="208"/>
      <c r="E3" s="208"/>
      <c r="F3" s="208"/>
      <c r="G3" s="208"/>
      <c r="H3" s="208"/>
    </row>
    <row r="4" spans="1:20" x14ac:dyDescent="0.2">
      <c r="A4" s="75" t="s">
        <v>1403</v>
      </c>
      <c r="B4" s="75"/>
      <c r="C4" s="75"/>
      <c r="D4" s="75"/>
      <c r="E4" s="75"/>
      <c r="F4" s="75"/>
      <c r="G4" s="75"/>
      <c r="H4" s="75"/>
    </row>
    <row r="5" spans="1:20" x14ac:dyDescent="0.2">
      <c r="A5" s="209" t="s">
        <v>1404</v>
      </c>
      <c r="B5" s="209"/>
      <c r="C5" s="209"/>
      <c r="D5" s="209"/>
      <c r="E5" s="209"/>
      <c r="F5" s="209"/>
      <c r="G5" s="209"/>
      <c r="H5" s="209"/>
    </row>
    <row r="6" spans="1:20" x14ac:dyDescent="0.2">
      <c r="A6" s="209" t="s">
        <v>1405</v>
      </c>
      <c r="B6" s="209"/>
      <c r="C6" s="209"/>
      <c r="D6" s="209"/>
      <c r="E6" s="209"/>
      <c r="F6" s="209"/>
      <c r="G6" s="209"/>
      <c r="H6" s="209"/>
    </row>
    <row r="8" spans="1:20" x14ac:dyDescent="0.2">
      <c r="A8" s="208" t="s">
        <v>787</v>
      </c>
      <c r="B8" s="208"/>
      <c r="C8" s="208"/>
      <c r="D8" s="208"/>
      <c r="E8" s="208"/>
      <c r="F8" s="208"/>
      <c r="G8" s="208"/>
      <c r="H8" s="208"/>
    </row>
    <row r="9" spans="1:20" x14ac:dyDescent="0.2">
      <c r="A9" s="1" t="s">
        <v>1406</v>
      </c>
    </row>
    <row r="10" spans="1:20" x14ac:dyDescent="0.2">
      <c r="A10" s="1" t="s">
        <v>1407</v>
      </c>
    </row>
    <row r="11" spans="1:20" x14ac:dyDescent="0.2">
      <c r="A11" s="1" t="s">
        <v>1408</v>
      </c>
    </row>
    <row r="12" spans="1:20" x14ac:dyDescent="0.2">
      <c r="A12" s="1" t="s">
        <v>1409</v>
      </c>
    </row>
    <row r="13" spans="1:20" x14ac:dyDescent="0.2">
      <c r="A13" s="1" t="s">
        <v>1410</v>
      </c>
    </row>
    <row r="14" spans="1:20" x14ac:dyDescent="0.2">
      <c r="A14" s="210" t="s">
        <v>1411</v>
      </c>
      <c r="B14" s="210"/>
      <c r="C14" s="210"/>
      <c r="D14" s="210"/>
      <c r="E14" s="210"/>
      <c r="F14" s="210"/>
      <c r="G14" s="210"/>
      <c r="H14" s="210"/>
    </row>
    <row r="15" spans="1:20" x14ac:dyDescent="0.2">
      <c r="A15" s="210" t="s">
        <v>1412</v>
      </c>
      <c r="B15" s="210"/>
      <c r="C15" s="210"/>
      <c r="D15" s="210"/>
      <c r="E15" s="210"/>
      <c r="F15" s="210"/>
      <c r="G15" s="210"/>
      <c r="H15" s="210"/>
    </row>
    <row r="16" spans="1:20" x14ac:dyDescent="0.2">
      <c r="A16" s="210" t="s">
        <v>1413</v>
      </c>
      <c r="B16" s="210"/>
      <c r="C16" s="210"/>
      <c r="D16" s="210"/>
      <c r="E16" s="210"/>
      <c r="F16" s="210"/>
      <c r="G16" s="210"/>
      <c r="H16" s="210"/>
      <c r="M16" s="1" t="s">
        <v>927</v>
      </c>
      <c r="N16" s="19" t="s">
        <v>659</v>
      </c>
      <c r="O16" s="19" t="s">
        <v>927</v>
      </c>
      <c r="P16" s="19" t="s">
        <v>659</v>
      </c>
      <c r="Q16" s="19" t="s">
        <v>927</v>
      </c>
      <c r="R16" s="19" t="s">
        <v>659</v>
      </c>
      <c r="S16" s="19" t="s">
        <v>927</v>
      </c>
      <c r="T16" s="19" t="s">
        <v>659</v>
      </c>
    </row>
    <row r="17" spans="1:20" x14ac:dyDescent="0.2">
      <c r="A17" s="1" t="s">
        <v>1414</v>
      </c>
      <c r="J17" s="36">
        <v>44197</v>
      </c>
      <c r="K17" s="36">
        <v>44561</v>
      </c>
      <c r="L17" s="36">
        <v>44926</v>
      </c>
      <c r="M17" s="36">
        <v>45291</v>
      </c>
      <c r="N17" s="36">
        <v>45291</v>
      </c>
      <c r="O17" s="36">
        <v>45657</v>
      </c>
      <c r="P17" s="36">
        <v>45657</v>
      </c>
      <c r="Q17" s="36">
        <v>46022</v>
      </c>
      <c r="R17" s="36">
        <v>46022</v>
      </c>
      <c r="S17" s="36">
        <v>46387</v>
      </c>
      <c r="T17" s="36">
        <v>46387</v>
      </c>
    </row>
    <row r="18" spans="1:20" x14ac:dyDescent="0.2">
      <c r="A18" s="1" t="s">
        <v>1415</v>
      </c>
      <c r="I18" s="1" t="s">
        <v>95</v>
      </c>
      <c r="J18" s="38">
        <v>400000</v>
      </c>
      <c r="K18" s="38">
        <f t="shared" ref="K18:T18" si="0">J18</f>
        <v>400000</v>
      </c>
      <c r="L18" s="38">
        <f t="shared" si="0"/>
        <v>400000</v>
      </c>
      <c r="M18" s="38">
        <f t="shared" si="0"/>
        <v>400000</v>
      </c>
      <c r="N18" s="38">
        <f t="shared" si="0"/>
        <v>400000</v>
      </c>
      <c r="O18" s="38">
        <f t="shared" si="0"/>
        <v>400000</v>
      </c>
      <c r="P18" s="38">
        <f t="shared" si="0"/>
        <v>400000</v>
      </c>
      <c r="Q18" s="38">
        <f t="shared" si="0"/>
        <v>400000</v>
      </c>
      <c r="R18" s="38">
        <f t="shared" si="0"/>
        <v>400000</v>
      </c>
      <c r="S18" s="38">
        <f t="shared" si="0"/>
        <v>400000</v>
      </c>
      <c r="T18" s="38">
        <f t="shared" si="0"/>
        <v>400000</v>
      </c>
    </row>
    <row r="19" spans="1:20" x14ac:dyDescent="0.2">
      <c r="A19" s="1" t="s">
        <v>1416</v>
      </c>
      <c r="I19" s="1" t="s">
        <v>96</v>
      </c>
      <c r="J19" s="19">
        <v>0</v>
      </c>
      <c r="K19" s="38">
        <f>-K23</f>
        <v>-72727.272727272721</v>
      </c>
      <c r="L19" s="38">
        <f>K19-L23</f>
        <v>-138181.81818181818</v>
      </c>
      <c r="M19" s="38">
        <f>L19-M23</f>
        <v>-196363.63636363635</v>
      </c>
      <c r="N19" s="38">
        <f>M19</f>
        <v>-196363.63636363635</v>
      </c>
      <c r="O19" s="38">
        <f>N19-O23-(O20-N20)</f>
        <v>-247272.72727272724</v>
      </c>
      <c r="P19" s="38">
        <f>O19</f>
        <v>-247272.72727272724</v>
      </c>
      <c r="Q19" s="38">
        <f>P19-Q23-(Q20-P20)</f>
        <v>-290909.09090909088</v>
      </c>
      <c r="R19" s="38">
        <f>Q19</f>
        <v>-290909.09090909088</v>
      </c>
      <c r="S19" s="38">
        <f>R19-S23-(S20-R20)</f>
        <v>-327272.72727272724</v>
      </c>
      <c r="T19" s="38">
        <f>S19</f>
        <v>-327272.72727272724</v>
      </c>
    </row>
    <row r="20" spans="1:20" x14ac:dyDescent="0.2">
      <c r="A20" s="1" t="s">
        <v>1417</v>
      </c>
      <c r="I20" s="1" t="s">
        <v>718</v>
      </c>
      <c r="J20" s="19">
        <v>0</v>
      </c>
      <c r="K20" s="19">
        <v>0</v>
      </c>
      <c r="L20" s="19">
        <v>0</v>
      </c>
      <c r="M20" s="19">
        <v>0</v>
      </c>
      <c r="N20" s="38">
        <f>-N24</f>
        <v>-57583.799105575599</v>
      </c>
      <c r="O20" s="38">
        <f>N20-N20*7/(7*8/2)</f>
        <v>-43187.849329181699</v>
      </c>
      <c r="P20" s="38">
        <f>O20+P25</f>
        <v>-16727.272727272764</v>
      </c>
      <c r="Q20" s="38">
        <f>P20-P20*6/(6*7/2)</f>
        <v>-11948.051948051974</v>
      </c>
      <c r="R20" s="38">
        <f>Q20-R24</f>
        <v>-71183.041396824614</v>
      </c>
      <c r="S20" s="38">
        <f>R20-R20*5/(5*6/2)</f>
        <v>-47455.360931216404</v>
      </c>
      <c r="T20" s="38">
        <v>0</v>
      </c>
    </row>
    <row r="21" spans="1:20" x14ac:dyDescent="0.2">
      <c r="A21" s="1" t="s">
        <v>1418</v>
      </c>
      <c r="I21" s="1" t="s">
        <v>99</v>
      </c>
      <c r="J21" s="39">
        <f>J18</f>
        <v>400000</v>
      </c>
      <c r="K21" s="39">
        <f>K18+K19</f>
        <v>327272.72727272729</v>
      </c>
      <c r="L21" s="39">
        <f>L18+L19+L20</f>
        <v>261818.18181818182</v>
      </c>
      <c r="M21" s="39">
        <f>M18+M19+M20</f>
        <v>203636.36363636365</v>
      </c>
      <c r="N21" s="39">
        <f>MAX(150000*(1-20%),ABS(PV(10%,7,30000)))</f>
        <v>146052.56453078805</v>
      </c>
      <c r="O21" s="39">
        <f>O18+O19+O20</f>
        <v>109539.42339809106</v>
      </c>
      <c r="P21" s="39">
        <f>MAX(170000*(1-20%),ABS(PV(10%,6,15000)))</f>
        <v>136000</v>
      </c>
      <c r="Q21" s="39">
        <f>Q18+Q19+Q20</f>
        <v>97142.857142857145</v>
      </c>
      <c r="R21" s="39">
        <f>ABS(PV(10%,5,10000))</f>
        <v>37907.867694084503</v>
      </c>
      <c r="S21" s="39">
        <f>S18+S19+S20</f>
        <v>25271.91179605636</v>
      </c>
      <c r="T21" s="39">
        <f>T18+T19+T20</f>
        <v>72727.272727272764</v>
      </c>
    </row>
    <row r="22" spans="1:20" x14ac:dyDescent="0.2">
      <c r="A22" s="1" t="s">
        <v>1419</v>
      </c>
      <c r="J22" s="19"/>
      <c r="K22" s="19"/>
      <c r="L22" s="19"/>
      <c r="M22" s="19"/>
      <c r="N22" s="19"/>
      <c r="O22" s="19"/>
      <c r="P22" s="19"/>
      <c r="Q22" s="19"/>
      <c r="R22" s="19"/>
      <c r="S22" s="19"/>
      <c r="T22" s="19"/>
    </row>
    <row r="23" spans="1:20" x14ac:dyDescent="0.2">
      <c r="A23" s="1" t="s">
        <v>1420</v>
      </c>
      <c r="I23" s="1" t="s">
        <v>1653</v>
      </c>
      <c r="J23" s="19"/>
      <c r="K23" s="38">
        <f>J18*10/(10*11/2)</f>
        <v>72727.272727272721</v>
      </c>
      <c r="L23" s="38">
        <f>J18*9/(10*11/2)</f>
        <v>65454.545454545456</v>
      </c>
      <c r="M23" s="38">
        <f>J18*8/(10*11/2)</f>
        <v>58181.818181818184</v>
      </c>
      <c r="N23" s="38">
        <f>M23</f>
        <v>58181.818181818184</v>
      </c>
      <c r="O23" s="38">
        <f>N21*7/(7*8/2)</f>
        <v>36513.141132697012</v>
      </c>
      <c r="P23" s="38">
        <f>O23</f>
        <v>36513.141132697012</v>
      </c>
      <c r="Q23" s="38">
        <f>P21*6/(6*7/2)</f>
        <v>38857.142857142855</v>
      </c>
      <c r="R23" s="38">
        <f>Q23</f>
        <v>38857.142857142855</v>
      </c>
      <c r="S23" s="38">
        <f>R21*5/(5*6/2)</f>
        <v>12635.955898028167</v>
      </c>
      <c r="T23" s="38">
        <f>S23</f>
        <v>12635.955898028167</v>
      </c>
    </row>
    <row r="24" spans="1:20" x14ac:dyDescent="0.2">
      <c r="A24" s="1" t="s">
        <v>1421</v>
      </c>
      <c r="I24" s="1" t="s">
        <v>1654</v>
      </c>
      <c r="J24" s="19"/>
      <c r="K24" s="19"/>
      <c r="L24" s="19"/>
      <c r="M24" s="19"/>
      <c r="N24" s="38">
        <f>M21-N21</f>
        <v>57583.799105575599</v>
      </c>
      <c r="O24" s="19"/>
      <c r="P24" s="38"/>
      <c r="Q24" s="38"/>
      <c r="R24" s="38">
        <f>Q21-R21</f>
        <v>59234.989448772641</v>
      </c>
      <c r="S24" s="38"/>
      <c r="T24" s="38"/>
    </row>
    <row r="25" spans="1:20" x14ac:dyDescent="0.2">
      <c r="A25" s="1" t="s">
        <v>1422</v>
      </c>
      <c r="I25" s="1" t="s">
        <v>892</v>
      </c>
      <c r="N25" s="19"/>
      <c r="O25" s="19"/>
      <c r="P25" s="38">
        <f>P21-O21</f>
        <v>26460.576601908935</v>
      </c>
      <c r="Q25" s="38"/>
      <c r="R25" s="38"/>
      <c r="S25" s="38"/>
      <c r="T25" s="38">
        <f>-S20</f>
        <v>47455.360931216404</v>
      </c>
    </row>
    <row r="26" spans="1:20" x14ac:dyDescent="0.2">
      <c r="A26" s="1" t="s">
        <v>1423</v>
      </c>
      <c r="N26" s="19"/>
      <c r="O26" s="19"/>
      <c r="P26" s="19"/>
      <c r="Q26" s="19"/>
      <c r="R26" s="19"/>
      <c r="S26" s="19"/>
      <c r="T26" s="19"/>
    </row>
    <row r="27" spans="1:20" x14ac:dyDescent="0.2">
      <c r="A27" s="1" t="s">
        <v>1424</v>
      </c>
      <c r="I27" s="1" t="s">
        <v>1655</v>
      </c>
      <c r="K27" s="21">
        <f>K30</f>
        <v>3896.1038961038867</v>
      </c>
      <c r="L27" s="21">
        <f>L38-K38</f>
        <v>2077.9220779220923</v>
      </c>
      <c r="M27" s="21"/>
      <c r="N27" s="21">
        <f>N38-L38</f>
        <v>14655.690036134154</v>
      </c>
      <c r="O27" s="21"/>
      <c r="P27" s="19"/>
      <c r="Q27" s="19"/>
      <c r="R27" s="21">
        <f>R30-P30</f>
        <v>10237.318790764592</v>
      </c>
      <c r="S27" s="19"/>
      <c r="T27" s="19"/>
    </row>
    <row r="28" spans="1:20" x14ac:dyDescent="0.2">
      <c r="A28" s="1" t="s">
        <v>1425</v>
      </c>
      <c r="I28" s="1" t="s">
        <v>1656</v>
      </c>
      <c r="N28" s="19"/>
      <c r="O28" s="19"/>
      <c r="P28" s="21">
        <f>N30-P30</f>
        <v>11772.573153017278</v>
      </c>
      <c r="Q28" s="21"/>
      <c r="R28" s="21"/>
      <c r="S28" s="21"/>
      <c r="T28" s="21">
        <f>R30+T31</f>
        <v>22990.565544011351</v>
      </c>
    </row>
    <row r="29" spans="1:20" x14ac:dyDescent="0.2">
      <c r="A29" s="1" t="s">
        <v>1426</v>
      </c>
      <c r="N29" s="19"/>
      <c r="O29" s="19"/>
      <c r="P29" s="19"/>
      <c r="Q29" s="19"/>
      <c r="R29" s="19"/>
      <c r="S29" s="19"/>
      <c r="T29" s="19"/>
    </row>
    <row r="30" spans="1:20" x14ac:dyDescent="0.2">
      <c r="A30" s="1" t="s">
        <v>1427</v>
      </c>
      <c r="I30" s="1" t="s">
        <v>1468</v>
      </c>
      <c r="K30" s="21">
        <f>K38</f>
        <v>3896.1038961038867</v>
      </c>
      <c r="L30" s="21">
        <f>L38</f>
        <v>5974.0259740259789</v>
      </c>
      <c r="M30" s="21"/>
      <c r="N30" s="21">
        <f>N38</f>
        <v>20629.716010160133</v>
      </c>
      <c r="O30" s="21"/>
      <c r="P30" s="21">
        <f>P38</f>
        <v>8857.1428571428551</v>
      </c>
      <c r="Q30" s="21"/>
      <c r="R30" s="21">
        <f>R38</f>
        <v>19094.461647907447</v>
      </c>
      <c r="S30" s="21"/>
      <c r="T30" s="21"/>
    </row>
    <row r="31" spans="1:20" x14ac:dyDescent="0.2">
      <c r="A31" s="1" t="s">
        <v>1428</v>
      </c>
      <c r="I31" s="1" t="s">
        <v>1657</v>
      </c>
      <c r="T31" s="21">
        <f>-T39</f>
        <v>3896.1038961039048</v>
      </c>
    </row>
    <row r="32" spans="1:20" x14ac:dyDescent="0.2">
      <c r="A32" s="1" t="s">
        <v>1429</v>
      </c>
    </row>
    <row r="33" spans="1:20" x14ac:dyDescent="0.2">
      <c r="A33" s="1" t="s">
        <v>1430</v>
      </c>
      <c r="I33" s="1" t="s">
        <v>1658</v>
      </c>
      <c r="J33" s="36">
        <v>44197</v>
      </c>
      <c r="K33" s="36">
        <v>44561</v>
      </c>
      <c r="L33" s="36">
        <v>44926</v>
      </c>
      <c r="M33" s="36"/>
      <c r="N33" s="36">
        <v>45291</v>
      </c>
      <c r="O33" s="36"/>
      <c r="P33" s="36">
        <v>45657</v>
      </c>
      <c r="Q33" s="36"/>
      <c r="R33" s="36">
        <v>46022</v>
      </c>
      <c r="S33" s="36"/>
      <c r="T33" s="36">
        <v>46387</v>
      </c>
    </row>
    <row r="34" spans="1:20" x14ac:dyDescent="0.2">
      <c r="A34" s="1" t="s">
        <v>1431</v>
      </c>
      <c r="I34" s="1" t="s">
        <v>99</v>
      </c>
      <c r="J34" s="21">
        <f>J21</f>
        <v>400000</v>
      </c>
      <c r="K34" s="21">
        <f>K21</f>
        <v>327272.72727272729</v>
      </c>
      <c r="L34" s="21">
        <f>L21</f>
        <v>261818.18181818182</v>
      </c>
      <c r="M34" s="21"/>
      <c r="N34" s="21">
        <f>N21</f>
        <v>146052.56453078805</v>
      </c>
      <c r="O34" s="21"/>
      <c r="P34" s="21">
        <f>P21</f>
        <v>136000</v>
      </c>
      <c r="Q34" s="21"/>
      <c r="R34" s="21">
        <f>R21</f>
        <v>37907.867694084503</v>
      </c>
      <c r="S34" s="21"/>
      <c r="T34" s="21">
        <f>T21</f>
        <v>72727.272727272764</v>
      </c>
    </row>
    <row r="35" spans="1:20" x14ac:dyDescent="0.2">
      <c r="A35" s="1" t="s">
        <v>1432</v>
      </c>
      <c r="I35" s="1" t="s">
        <v>1054</v>
      </c>
      <c r="J35" s="21">
        <f>J34</f>
        <v>400000</v>
      </c>
      <c r="K35" s="21">
        <f>400000*6/7</f>
        <v>342857.14285714284</v>
      </c>
      <c r="L35" s="21">
        <f>400000*5/7</f>
        <v>285714.28571428574</v>
      </c>
      <c r="M35" s="21"/>
      <c r="N35" s="21">
        <f>400000*4/7</f>
        <v>228571.42857142858</v>
      </c>
      <c r="O35" s="21"/>
      <c r="P35" s="21">
        <f>400000*3/7</f>
        <v>171428.57142857142</v>
      </c>
      <c r="Q35" s="21"/>
      <c r="R35" s="21">
        <f>400000*2/7</f>
        <v>114285.71428571429</v>
      </c>
      <c r="S35" s="21"/>
      <c r="T35" s="21">
        <f>400000*1/7</f>
        <v>57142.857142857145</v>
      </c>
    </row>
    <row r="36" spans="1:20" x14ac:dyDescent="0.2">
      <c r="A36" s="1" t="s">
        <v>1433</v>
      </c>
      <c r="I36" s="1" t="s">
        <v>1659</v>
      </c>
      <c r="J36" s="21">
        <f>J34-J35</f>
        <v>0</v>
      </c>
      <c r="K36" s="21">
        <f>K34-K35</f>
        <v>-15584.415584415547</v>
      </c>
      <c r="L36" s="21">
        <f>L34-L35</f>
        <v>-23896.103896103916</v>
      </c>
      <c r="M36" s="21"/>
      <c r="N36" s="21">
        <f>N34-N35</f>
        <v>-82518.864040640532</v>
      </c>
      <c r="O36" s="21"/>
      <c r="P36" s="21">
        <f>P34-P35</f>
        <v>-35428.57142857142</v>
      </c>
      <c r="Q36" s="21"/>
      <c r="R36" s="21">
        <f>R34-R35</f>
        <v>-76377.846591629786</v>
      </c>
      <c r="S36" s="21"/>
      <c r="T36" s="21">
        <f>T34-T35</f>
        <v>15584.415584415619</v>
      </c>
    </row>
    <row r="37" spans="1:20" ht="17" thickBot="1" x14ac:dyDescent="0.25">
      <c r="I37" s="1" t="s">
        <v>1056</v>
      </c>
      <c r="J37" s="183">
        <v>0.25</v>
      </c>
      <c r="K37" s="183">
        <v>0.25</v>
      </c>
      <c r="L37" s="183">
        <v>0.25</v>
      </c>
      <c r="M37" s="183"/>
      <c r="N37" s="183">
        <v>0.25</v>
      </c>
      <c r="O37" s="183"/>
      <c r="P37" s="183">
        <v>0.25</v>
      </c>
      <c r="Q37" s="183"/>
      <c r="R37" s="183">
        <v>0.25</v>
      </c>
      <c r="S37" s="183"/>
      <c r="T37" s="183">
        <v>0.25</v>
      </c>
    </row>
    <row r="38" spans="1:20" ht="17" thickBot="1" x14ac:dyDescent="0.25">
      <c r="A38" s="16" t="s">
        <v>1434</v>
      </c>
      <c r="B38" s="33"/>
      <c r="C38" s="33"/>
      <c r="D38" s="33"/>
      <c r="E38" s="33"/>
      <c r="F38" s="33"/>
      <c r="G38" s="33"/>
      <c r="H38" s="34"/>
      <c r="I38" s="1" t="s">
        <v>1468</v>
      </c>
      <c r="J38" s="21">
        <v>0</v>
      </c>
      <c r="K38" s="21">
        <f>-K37*K36</f>
        <v>3896.1038961038867</v>
      </c>
      <c r="L38" s="21">
        <f>-L37*L36</f>
        <v>5974.0259740259789</v>
      </c>
      <c r="M38" s="21"/>
      <c r="N38" s="21">
        <f>-N37*N36</f>
        <v>20629.716010160133</v>
      </c>
      <c r="O38" s="21"/>
      <c r="P38" s="21">
        <f>-P37*P36</f>
        <v>8857.1428571428551</v>
      </c>
      <c r="Q38" s="21"/>
      <c r="R38" s="21">
        <f>-R37*R36</f>
        <v>19094.461647907447</v>
      </c>
      <c r="S38" s="21"/>
    </row>
    <row r="39" spans="1:20" x14ac:dyDescent="0.2">
      <c r="I39" s="1" t="s">
        <v>1489</v>
      </c>
      <c r="T39" s="21">
        <f>-T37*T36</f>
        <v>-3896.1038961039048</v>
      </c>
    </row>
    <row r="40" spans="1:20" x14ac:dyDescent="0.2">
      <c r="A40" s="208" t="s">
        <v>1435</v>
      </c>
      <c r="B40" s="208"/>
      <c r="C40" s="208"/>
      <c r="D40" s="208"/>
      <c r="E40" s="208"/>
      <c r="F40" s="208"/>
      <c r="G40" s="208"/>
      <c r="H40" s="208"/>
    </row>
    <row r="42" spans="1:20" x14ac:dyDescent="0.2">
      <c r="A42" s="3" t="s">
        <v>1244</v>
      </c>
      <c r="B42" s="3" t="s">
        <v>1436</v>
      </c>
      <c r="C42" s="41"/>
      <c r="D42" s="41"/>
      <c r="E42" s="41"/>
      <c r="F42" s="41"/>
      <c r="G42" s="41"/>
      <c r="H42" s="41"/>
    </row>
    <row r="43" spans="1:20" x14ac:dyDescent="0.2">
      <c r="A43" s="2" t="s">
        <v>1437</v>
      </c>
    </row>
    <row r="45" spans="1:20" x14ac:dyDescent="0.2">
      <c r="A45" s="1" t="s">
        <v>1438</v>
      </c>
    </row>
    <row r="46" spans="1:20" x14ac:dyDescent="0.2">
      <c r="A46" s="1" t="s">
        <v>1439</v>
      </c>
    </row>
    <row r="48" spans="1:20" x14ac:dyDescent="0.2">
      <c r="A48" s="2" t="s">
        <v>1440</v>
      </c>
    </row>
    <row r="49" spans="1:8" x14ac:dyDescent="0.2">
      <c r="D49" s="1" t="s">
        <v>1441</v>
      </c>
      <c r="E49" s="19">
        <v>10</v>
      </c>
      <c r="F49" s="1" t="s">
        <v>1442</v>
      </c>
    </row>
    <row r="50" spans="1:8" x14ac:dyDescent="0.2">
      <c r="D50" s="1" t="s">
        <v>1443</v>
      </c>
      <c r="E50" s="211">
        <f>10*11/2</f>
        <v>55</v>
      </c>
      <c r="F50" s="1" t="s">
        <v>1444</v>
      </c>
      <c r="H50" s="1" t="s">
        <v>1445</v>
      </c>
    </row>
    <row r="52" spans="1:8" x14ac:dyDescent="0.2">
      <c r="A52" s="2" t="s">
        <v>1446</v>
      </c>
    </row>
    <row r="53" spans="1:8" x14ac:dyDescent="0.2">
      <c r="D53" s="21">
        <f>400000*10/55</f>
        <v>72727.272727272721</v>
      </c>
      <c r="F53" s="1" t="s">
        <v>1447</v>
      </c>
    </row>
    <row r="54" spans="1:8" x14ac:dyDescent="0.2">
      <c r="D54" s="21"/>
    </row>
    <row r="55" spans="1:8" x14ac:dyDescent="0.2">
      <c r="A55" s="2" t="s">
        <v>1448</v>
      </c>
      <c r="D55" s="21"/>
    </row>
    <row r="56" spans="1:8" x14ac:dyDescent="0.2">
      <c r="D56" s="21"/>
      <c r="E56" s="19"/>
      <c r="F56" s="19"/>
      <c r="G56" s="19"/>
      <c r="H56" s="19" t="s">
        <v>1449</v>
      </c>
    </row>
    <row r="57" spans="1:8" ht="17" thickBot="1" x14ac:dyDescent="0.25">
      <c r="D57" s="21"/>
      <c r="E57" s="56">
        <v>45291</v>
      </c>
      <c r="F57" s="56">
        <v>44926</v>
      </c>
      <c r="G57" s="56">
        <v>44561</v>
      </c>
      <c r="H57" s="56">
        <v>44197</v>
      </c>
    </row>
    <row r="58" spans="1:8" ht="17" thickBot="1" x14ac:dyDescent="0.25">
      <c r="D58" s="21"/>
      <c r="G58" s="321">
        <v>10</v>
      </c>
      <c r="H58" s="322"/>
    </row>
    <row r="59" spans="1:8" x14ac:dyDescent="0.2">
      <c r="D59" s="21"/>
      <c r="F59" s="323">
        <v>9</v>
      </c>
      <c r="G59" s="323"/>
    </row>
    <row r="60" spans="1:8" x14ac:dyDescent="0.2">
      <c r="D60" s="21"/>
      <c r="E60" s="323">
        <v>8</v>
      </c>
      <c r="F60" s="323"/>
    </row>
    <row r="61" spans="1:8" x14ac:dyDescent="0.2">
      <c r="D61" s="21"/>
    </row>
    <row r="62" spans="1:8" x14ac:dyDescent="0.2">
      <c r="A62" s="1" t="s">
        <v>1450</v>
      </c>
      <c r="D62" s="21"/>
    </row>
    <row r="63" spans="1:8" x14ac:dyDescent="0.2">
      <c r="A63" s="1" t="s">
        <v>1451</v>
      </c>
      <c r="D63" s="21"/>
    </row>
    <row r="65" spans="1:8" ht="17" thickBot="1" x14ac:dyDescent="0.25">
      <c r="A65" s="2" t="s">
        <v>1452</v>
      </c>
    </row>
    <row r="66" spans="1:8" x14ac:dyDescent="0.2">
      <c r="B66" s="4"/>
      <c r="C66" s="5"/>
      <c r="D66" s="184">
        <v>44561</v>
      </c>
    </row>
    <row r="67" spans="1:8" x14ac:dyDescent="0.2">
      <c r="B67" s="7" t="s">
        <v>95</v>
      </c>
      <c r="D67" s="212">
        <v>400000</v>
      </c>
    </row>
    <row r="68" spans="1:8" x14ac:dyDescent="0.2">
      <c r="B68" s="7" t="s">
        <v>1453</v>
      </c>
      <c r="D68" s="185">
        <f>-D53</f>
        <v>-72727.272727272721</v>
      </c>
    </row>
    <row r="69" spans="1:8" x14ac:dyDescent="0.2">
      <c r="B69" s="7" t="s">
        <v>718</v>
      </c>
      <c r="D69" s="213">
        <v>0</v>
      </c>
      <c r="F69" s="35"/>
      <c r="H69" s="35"/>
    </row>
    <row r="70" spans="1:8" x14ac:dyDescent="0.2">
      <c r="B70" s="7" t="s">
        <v>99</v>
      </c>
      <c r="D70" s="214">
        <f>D67+D68+D69</f>
        <v>327272.72727272729</v>
      </c>
      <c r="F70" s="23"/>
      <c r="H70" s="23"/>
    </row>
    <row r="71" spans="1:8" x14ac:dyDescent="0.2">
      <c r="B71" s="7"/>
      <c r="D71" s="9"/>
      <c r="F71" s="23"/>
      <c r="H71" s="23"/>
    </row>
    <row r="72" spans="1:8" x14ac:dyDescent="0.2">
      <c r="B72" s="7" t="s">
        <v>100</v>
      </c>
      <c r="D72" s="185">
        <f>D53</f>
        <v>72727.272727272721</v>
      </c>
      <c r="H72" s="23"/>
    </row>
    <row r="73" spans="1:8" x14ac:dyDescent="0.2">
      <c r="B73" s="7"/>
      <c r="D73" s="9"/>
      <c r="H73" s="24"/>
    </row>
    <row r="74" spans="1:8" x14ac:dyDescent="0.2">
      <c r="B74" s="7" t="s">
        <v>1454</v>
      </c>
      <c r="D74" s="185">
        <f>F94</f>
        <v>3896.1038961038867</v>
      </c>
      <c r="H74" s="23"/>
    </row>
    <row r="75" spans="1:8" x14ac:dyDescent="0.2">
      <c r="B75" s="7" t="s">
        <v>1455</v>
      </c>
      <c r="D75" s="213">
        <v>0</v>
      </c>
    </row>
    <row r="76" spans="1:8" x14ac:dyDescent="0.2">
      <c r="B76" s="7" t="s">
        <v>1362</v>
      </c>
      <c r="D76" s="185">
        <f>F94</f>
        <v>3896.1038961038867</v>
      </c>
    </row>
    <row r="77" spans="1:8" ht="17" thickBot="1" x14ac:dyDescent="0.25">
      <c r="B77" s="10" t="s">
        <v>1364</v>
      </c>
      <c r="C77" s="11"/>
      <c r="D77" s="215">
        <v>0</v>
      </c>
    </row>
    <row r="79" spans="1:8" x14ac:dyDescent="0.2">
      <c r="A79" s="2" t="s">
        <v>1456</v>
      </c>
    </row>
    <row r="80" spans="1:8" x14ac:dyDescent="0.2">
      <c r="A80" s="1" t="s">
        <v>95</v>
      </c>
      <c r="C80" s="23">
        <v>400000</v>
      </c>
      <c r="D80" s="1" t="s">
        <v>1457</v>
      </c>
    </row>
    <row r="81" spans="1:6" x14ac:dyDescent="0.2">
      <c r="A81" s="1" t="s">
        <v>1458</v>
      </c>
      <c r="C81" s="1">
        <v>7</v>
      </c>
      <c r="D81" s="1" t="s">
        <v>1459</v>
      </c>
    </row>
    <row r="82" spans="1:6" x14ac:dyDescent="0.2">
      <c r="A82" s="1" t="s">
        <v>1460</v>
      </c>
      <c r="C82" s="1" t="s">
        <v>505</v>
      </c>
    </row>
    <row r="84" spans="1:6" x14ac:dyDescent="0.2">
      <c r="A84" s="2" t="s">
        <v>1461</v>
      </c>
    </row>
    <row r="85" spans="1:6" x14ac:dyDescent="0.2">
      <c r="B85" s="1" t="s">
        <v>95</v>
      </c>
      <c r="D85" s="21">
        <v>400000</v>
      </c>
    </row>
    <row r="86" spans="1:6" x14ac:dyDescent="0.2">
      <c r="B86" s="1" t="s">
        <v>1453</v>
      </c>
      <c r="D86" s="21">
        <f>-400000/7</f>
        <v>-57142.857142857145</v>
      </c>
      <c r="F86" s="1" t="s">
        <v>1462</v>
      </c>
    </row>
    <row r="87" spans="1:6" x14ac:dyDescent="0.2">
      <c r="B87" s="1" t="s">
        <v>1463</v>
      </c>
      <c r="D87" s="39">
        <f>D85+D86</f>
        <v>342857.14285714284</v>
      </c>
    </row>
    <row r="89" spans="1:6" x14ac:dyDescent="0.2">
      <c r="C89" s="40" t="s">
        <v>1464</v>
      </c>
      <c r="D89" s="40"/>
      <c r="E89" s="40"/>
      <c r="F89" s="40" t="s">
        <v>1465</v>
      </c>
    </row>
    <row r="90" spans="1:6" x14ac:dyDescent="0.2">
      <c r="B90" s="1" t="s">
        <v>99</v>
      </c>
      <c r="C90" s="21">
        <v>400000</v>
      </c>
      <c r="D90" s="19"/>
      <c r="E90" s="1" t="s">
        <v>99</v>
      </c>
      <c r="F90" s="21">
        <f>D70</f>
        <v>327272.72727272729</v>
      </c>
    </row>
    <row r="91" spans="1:6" x14ac:dyDescent="0.2">
      <c r="B91" s="1" t="s">
        <v>1054</v>
      </c>
      <c r="C91" s="21">
        <v>400000</v>
      </c>
      <c r="D91" s="19"/>
      <c r="E91" s="1" t="s">
        <v>1054</v>
      </c>
      <c r="F91" s="21">
        <f>D87</f>
        <v>342857.14285714284</v>
      </c>
    </row>
    <row r="92" spans="1:6" x14ac:dyDescent="0.2">
      <c r="B92" s="1" t="s">
        <v>1466</v>
      </c>
      <c r="C92" s="22">
        <f>C91-C90</f>
        <v>0</v>
      </c>
      <c r="E92" s="1" t="s">
        <v>1467</v>
      </c>
      <c r="F92" s="22">
        <f>F91-F90</f>
        <v>15584.415584415547</v>
      </c>
    </row>
    <row r="93" spans="1:6" x14ac:dyDescent="0.2">
      <c r="B93" s="1" t="s">
        <v>1056</v>
      </c>
      <c r="C93" s="183">
        <v>0.25</v>
      </c>
      <c r="D93" s="19"/>
      <c r="E93" s="1" t="s">
        <v>1056</v>
      </c>
      <c r="F93" s="183">
        <v>0.25</v>
      </c>
    </row>
    <row r="94" spans="1:6" x14ac:dyDescent="0.2">
      <c r="B94" s="1" t="s">
        <v>1468</v>
      </c>
      <c r="C94" s="216">
        <f>C92*C93</f>
        <v>0</v>
      </c>
      <c r="E94" s="1" t="s">
        <v>1468</v>
      </c>
      <c r="F94" s="22">
        <f>F92*F93</f>
        <v>3896.1038961038867</v>
      </c>
    </row>
    <row r="96" spans="1:6" x14ac:dyDescent="0.2">
      <c r="A96" s="2" t="s">
        <v>1469</v>
      </c>
    </row>
    <row r="97" spans="1:8" x14ac:dyDescent="0.2">
      <c r="A97" s="1" t="s">
        <v>1470</v>
      </c>
    </row>
    <row r="98" spans="1:8" x14ac:dyDescent="0.2">
      <c r="A98" s="1" t="s">
        <v>1471</v>
      </c>
    </row>
    <row r="99" spans="1:8" x14ac:dyDescent="0.2">
      <c r="A99" s="1" t="s">
        <v>1472</v>
      </c>
    </row>
    <row r="101" spans="1:8" x14ac:dyDescent="0.2">
      <c r="A101" s="1" t="s">
        <v>1473</v>
      </c>
    </row>
    <row r="102" spans="1:8" x14ac:dyDescent="0.2">
      <c r="A102" s="1" t="s">
        <v>1474</v>
      </c>
    </row>
    <row r="104" spans="1:8" x14ac:dyDescent="0.2">
      <c r="A104" s="1" t="s">
        <v>1475</v>
      </c>
    </row>
    <row r="105" spans="1:8" x14ac:dyDescent="0.2">
      <c r="A105" s="1" t="s">
        <v>1476</v>
      </c>
    </row>
    <row r="106" spans="1:8" x14ac:dyDescent="0.2">
      <c r="A106" s="1" t="s">
        <v>1477</v>
      </c>
    </row>
    <row r="107" spans="1:8" ht="17" thickBot="1" x14ac:dyDescent="0.25"/>
    <row r="108" spans="1:8" x14ac:dyDescent="0.2">
      <c r="A108" s="4" t="s">
        <v>1478</v>
      </c>
      <c r="B108" s="5"/>
      <c r="C108" s="5"/>
      <c r="D108" s="5"/>
      <c r="E108" s="5"/>
      <c r="F108" s="5"/>
      <c r="G108" s="5"/>
      <c r="H108" s="6"/>
    </row>
    <row r="109" spans="1:8" x14ac:dyDescent="0.2">
      <c r="A109" s="7" t="s">
        <v>1479</v>
      </c>
      <c r="H109" s="9"/>
    </row>
    <row r="110" spans="1:8" ht="17" thickBot="1" x14ac:dyDescent="0.25">
      <c r="A110" s="10" t="s">
        <v>1480</v>
      </c>
      <c r="B110" s="11"/>
      <c r="C110" s="11"/>
      <c r="D110" s="11"/>
      <c r="E110" s="11"/>
      <c r="F110" s="11"/>
      <c r="G110" s="11"/>
      <c r="H110" s="12"/>
    </row>
    <row r="112" spans="1:8" x14ac:dyDescent="0.2">
      <c r="A112" s="1" t="s">
        <v>1481</v>
      </c>
    </row>
    <row r="113" spans="1:9" x14ac:dyDescent="0.2">
      <c r="B113" s="1" t="s">
        <v>1482</v>
      </c>
    </row>
    <row r="114" spans="1:9" x14ac:dyDescent="0.2">
      <c r="B114" s="1" t="s">
        <v>1483</v>
      </c>
    </row>
    <row r="116" spans="1:9" x14ac:dyDescent="0.2">
      <c r="A116" s="1" t="s">
        <v>1484</v>
      </c>
    </row>
    <row r="118" spans="1:9" x14ac:dyDescent="0.2">
      <c r="A118" s="3" t="s">
        <v>1248</v>
      </c>
      <c r="B118" s="3" t="s">
        <v>1436</v>
      </c>
      <c r="C118" s="41"/>
      <c r="D118" s="41"/>
      <c r="E118" s="41"/>
      <c r="F118" s="41"/>
      <c r="G118" s="41"/>
      <c r="H118" s="41"/>
    </row>
    <row r="119" spans="1:9" ht="17" thickBot="1" x14ac:dyDescent="0.25"/>
    <row r="120" spans="1:9" x14ac:dyDescent="0.2">
      <c r="B120" s="4"/>
      <c r="C120" s="5"/>
      <c r="D120" s="184">
        <v>44561</v>
      </c>
      <c r="E120" s="184">
        <v>44926</v>
      </c>
    </row>
    <row r="121" spans="1:9" x14ac:dyDescent="0.2">
      <c r="B121" s="7" t="s">
        <v>95</v>
      </c>
      <c r="D121" s="212">
        <v>400000</v>
      </c>
      <c r="E121" s="212">
        <v>400000</v>
      </c>
    </row>
    <row r="122" spans="1:9" x14ac:dyDescent="0.2">
      <c r="B122" s="7" t="s">
        <v>1453</v>
      </c>
      <c r="D122" s="185">
        <v>-72727.272727272721</v>
      </c>
      <c r="E122" s="217">
        <f>D122-E126</f>
        <v>-138181.81818181818</v>
      </c>
    </row>
    <row r="123" spans="1:9" x14ac:dyDescent="0.2">
      <c r="B123" s="7" t="s">
        <v>718</v>
      </c>
      <c r="D123" s="213">
        <v>0</v>
      </c>
      <c r="E123" s="218">
        <v>0</v>
      </c>
    </row>
    <row r="124" spans="1:9" x14ac:dyDescent="0.2">
      <c r="B124" s="7" t="s">
        <v>99</v>
      </c>
      <c r="D124" s="214">
        <v>327272.72727272729</v>
      </c>
      <c r="E124" s="219">
        <f>E121+E122+E123</f>
        <v>261818.18181818182</v>
      </c>
    </row>
    <row r="125" spans="1:9" x14ac:dyDescent="0.2">
      <c r="B125" s="7"/>
      <c r="D125" s="9"/>
      <c r="E125" s="9"/>
      <c r="G125" s="1" t="s">
        <v>1485</v>
      </c>
    </row>
    <row r="126" spans="1:9" x14ac:dyDescent="0.2">
      <c r="B126" s="7" t="s">
        <v>100</v>
      </c>
      <c r="D126" s="185">
        <v>72727.272727272721</v>
      </c>
      <c r="E126" s="185">
        <f>400000*9/55</f>
        <v>65454.545454545456</v>
      </c>
      <c r="H126" s="1" t="s">
        <v>1486</v>
      </c>
    </row>
    <row r="127" spans="1:9" x14ac:dyDescent="0.2">
      <c r="B127" s="7"/>
      <c r="D127" s="9"/>
      <c r="E127" s="9"/>
    </row>
    <row r="128" spans="1:9" x14ac:dyDescent="0.2">
      <c r="B128" s="7" t="s">
        <v>1454</v>
      </c>
      <c r="D128" s="185">
        <v>3896.1038961038867</v>
      </c>
      <c r="E128" s="217">
        <f>E143</f>
        <v>5974.0259740259644</v>
      </c>
      <c r="G128" s="1" t="s">
        <v>1487</v>
      </c>
      <c r="I128" s="1" t="s">
        <v>1488</v>
      </c>
    </row>
    <row r="129" spans="1:8" x14ac:dyDescent="0.2">
      <c r="B129" s="7" t="s">
        <v>1489</v>
      </c>
      <c r="D129" s="213">
        <v>0</v>
      </c>
      <c r="E129" s="218">
        <v>0</v>
      </c>
    </row>
    <row r="130" spans="1:8" x14ac:dyDescent="0.2">
      <c r="B130" s="7" t="s">
        <v>1362</v>
      </c>
      <c r="D130" s="185">
        <v>3896.1038961038867</v>
      </c>
      <c r="E130" s="217">
        <f>E143-C143</f>
        <v>2077.9220779220777</v>
      </c>
      <c r="H130" s="1" t="s">
        <v>1490</v>
      </c>
    </row>
    <row r="131" spans="1:8" ht="17" thickBot="1" x14ac:dyDescent="0.25">
      <c r="B131" s="10" t="s">
        <v>1364</v>
      </c>
      <c r="C131" s="11"/>
      <c r="D131" s="12"/>
      <c r="E131" s="220"/>
    </row>
    <row r="133" spans="1:8" x14ac:dyDescent="0.2">
      <c r="A133" s="2" t="s">
        <v>1461</v>
      </c>
    </row>
    <row r="134" spans="1:8" x14ac:dyDescent="0.2">
      <c r="B134" s="1" t="s">
        <v>95</v>
      </c>
      <c r="D134" s="21">
        <v>400000</v>
      </c>
    </row>
    <row r="135" spans="1:8" x14ac:dyDescent="0.2">
      <c r="B135" s="1" t="s">
        <v>1453</v>
      </c>
      <c r="D135" s="21">
        <f>-400000/7*2</f>
        <v>-114285.71428571429</v>
      </c>
      <c r="F135" s="1" t="s">
        <v>1491</v>
      </c>
    </row>
    <row r="136" spans="1:8" x14ac:dyDescent="0.2">
      <c r="B136" s="1" t="s">
        <v>1463</v>
      </c>
      <c r="D136" s="39">
        <f>D134+D135</f>
        <v>285714.28571428568</v>
      </c>
      <c r="F136" s="1" t="s">
        <v>1492</v>
      </c>
    </row>
    <row r="138" spans="1:8" x14ac:dyDescent="0.2">
      <c r="B138" s="40"/>
      <c r="C138" s="40" t="s">
        <v>1465</v>
      </c>
      <c r="D138" s="40"/>
      <c r="E138" s="221" t="s">
        <v>1493</v>
      </c>
      <c r="F138" s="105"/>
      <c r="G138" s="105" t="s">
        <v>1494</v>
      </c>
    </row>
    <row r="139" spans="1:8" x14ac:dyDescent="0.2">
      <c r="B139" s="1" t="s">
        <v>99</v>
      </c>
      <c r="C139" s="21">
        <v>327272.72727272729</v>
      </c>
      <c r="D139" s="19"/>
      <c r="E139" s="222">
        <f>E124</f>
        <v>261818.18181818182</v>
      </c>
      <c r="F139" s="105"/>
      <c r="G139" s="105" t="s">
        <v>1339</v>
      </c>
    </row>
    <row r="140" spans="1:8" x14ac:dyDescent="0.2">
      <c r="B140" s="1" t="s">
        <v>1054</v>
      </c>
      <c r="C140" s="21">
        <v>342857.14285714284</v>
      </c>
      <c r="D140" s="19"/>
      <c r="E140" s="222">
        <f>D136</f>
        <v>285714.28571428568</v>
      </c>
      <c r="F140" s="105"/>
      <c r="G140" s="105"/>
    </row>
    <row r="141" spans="1:8" x14ac:dyDescent="0.2">
      <c r="B141" s="1" t="s">
        <v>1467</v>
      </c>
      <c r="C141" s="22">
        <v>15584.415584415547</v>
      </c>
      <c r="D141" s="47"/>
      <c r="E141" s="223">
        <f>E140-E139</f>
        <v>23896.103896103858</v>
      </c>
      <c r="F141" s="105"/>
      <c r="G141" s="105" t="s">
        <v>1495</v>
      </c>
    </row>
    <row r="142" spans="1:8" x14ac:dyDescent="0.2">
      <c r="B142" s="1" t="s">
        <v>1056</v>
      </c>
      <c r="C142" s="183">
        <v>0.25</v>
      </c>
      <c r="D142" s="111"/>
      <c r="E142" s="224">
        <v>0.25</v>
      </c>
      <c r="F142" s="105"/>
      <c r="G142" s="105" t="s">
        <v>1340</v>
      </c>
    </row>
    <row r="143" spans="1:8" x14ac:dyDescent="0.2">
      <c r="B143" s="1" t="s">
        <v>1468</v>
      </c>
      <c r="C143" s="22">
        <v>3896.1038961038867</v>
      </c>
      <c r="D143" s="47"/>
      <c r="E143" s="223">
        <f>E141*E142</f>
        <v>5974.0259740259644</v>
      </c>
      <c r="F143" s="105"/>
      <c r="G143" s="105"/>
    </row>
    <row r="144" spans="1:8" x14ac:dyDescent="0.2">
      <c r="C144" s="21"/>
      <c r="D144" s="47"/>
      <c r="E144" s="222"/>
      <c r="F144" s="105"/>
      <c r="G144" s="105"/>
    </row>
    <row r="145" spans="1:8" x14ac:dyDescent="0.2">
      <c r="C145" s="47" t="s">
        <v>1496</v>
      </c>
      <c r="E145" s="222">
        <f>E143-C143</f>
        <v>2077.9220779220777</v>
      </c>
      <c r="F145" s="105"/>
      <c r="G145" s="105"/>
    </row>
    <row r="146" spans="1:8" x14ac:dyDescent="0.2">
      <c r="E146" s="105"/>
      <c r="F146" s="105"/>
      <c r="G146" s="105"/>
    </row>
    <row r="147" spans="1:8" x14ac:dyDescent="0.2">
      <c r="B147" s="1" t="s">
        <v>1363</v>
      </c>
      <c r="E147" s="222">
        <f>E143-C143</f>
        <v>2077.9220779220777</v>
      </c>
      <c r="F147" s="105"/>
      <c r="G147" s="105" t="s">
        <v>1497</v>
      </c>
    </row>
    <row r="148" spans="1:8" x14ac:dyDescent="0.2">
      <c r="B148" s="1" t="s">
        <v>1498</v>
      </c>
      <c r="E148" s="222">
        <f>E147</f>
        <v>2077.9220779220777</v>
      </c>
      <c r="F148" s="105"/>
      <c r="G148" s="105"/>
    </row>
    <row r="150" spans="1:8" x14ac:dyDescent="0.2">
      <c r="A150" s="3" t="s">
        <v>1499</v>
      </c>
      <c r="B150" s="3" t="s">
        <v>1500</v>
      </c>
      <c r="C150" s="41"/>
      <c r="D150" s="41"/>
      <c r="E150" s="41"/>
      <c r="F150" s="41"/>
      <c r="G150" s="41"/>
      <c r="H150" s="41"/>
    </row>
    <row r="152" spans="1:8" x14ac:dyDescent="0.2">
      <c r="A152" s="1" t="s">
        <v>1418</v>
      </c>
    </row>
    <row r="153" spans="1:8" x14ac:dyDescent="0.2">
      <c r="A153" s="1" t="s">
        <v>1419</v>
      </c>
    </row>
    <row r="154" spans="1:8" x14ac:dyDescent="0.2">
      <c r="A154" s="1" t="s">
        <v>1420</v>
      </c>
    </row>
    <row r="155" spans="1:8" x14ac:dyDescent="0.2">
      <c r="A155" s="1" t="s">
        <v>1421</v>
      </c>
    </row>
    <row r="156" spans="1:8" x14ac:dyDescent="0.2">
      <c r="A156" s="1" t="s">
        <v>1422</v>
      </c>
    </row>
    <row r="157" spans="1:8" x14ac:dyDescent="0.2">
      <c r="A157" s="1" t="s">
        <v>1423</v>
      </c>
    </row>
    <row r="159" spans="1:8" x14ac:dyDescent="0.2">
      <c r="A159" s="1" t="s">
        <v>1501</v>
      </c>
    </row>
    <row r="160" spans="1:8" x14ac:dyDescent="0.2">
      <c r="A160" s="1" t="s">
        <v>1502</v>
      </c>
    </row>
    <row r="161" spans="1:7" x14ac:dyDescent="0.2">
      <c r="A161" s="1" t="s">
        <v>1503</v>
      </c>
    </row>
    <row r="163" spans="1:7" x14ac:dyDescent="0.2">
      <c r="A163" s="1" t="s">
        <v>1504</v>
      </c>
    </row>
    <row r="164" spans="1:7" x14ac:dyDescent="0.2">
      <c r="E164" s="38">
        <f>400000*8/55</f>
        <v>58181.818181818184</v>
      </c>
      <c r="G164" s="1" t="s">
        <v>1505</v>
      </c>
    </row>
    <row r="165" spans="1:7" x14ac:dyDescent="0.2">
      <c r="E165" s="38"/>
    </row>
    <row r="166" spans="1:7" ht="17" thickBot="1" x14ac:dyDescent="0.25">
      <c r="F166" s="19" t="s">
        <v>893</v>
      </c>
      <c r="G166" s="111" t="s">
        <v>1360</v>
      </c>
    </row>
    <row r="167" spans="1:7" x14ac:dyDescent="0.2">
      <c r="B167" s="4"/>
      <c r="C167" s="5"/>
      <c r="D167" s="184">
        <v>44561</v>
      </c>
      <c r="E167" s="184">
        <v>44926</v>
      </c>
      <c r="F167" s="225">
        <v>45291</v>
      </c>
      <c r="G167" s="225">
        <v>45291</v>
      </c>
    </row>
    <row r="168" spans="1:7" x14ac:dyDescent="0.2">
      <c r="B168" s="7" t="s">
        <v>95</v>
      </c>
      <c r="D168" s="212">
        <v>400000</v>
      </c>
      <c r="E168" s="212">
        <v>400000</v>
      </c>
      <c r="F168" s="226">
        <v>400000</v>
      </c>
      <c r="G168" s="226">
        <v>400000</v>
      </c>
    </row>
    <row r="169" spans="1:7" x14ac:dyDescent="0.2">
      <c r="B169" s="7" t="s">
        <v>1453</v>
      </c>
      <c r="D169" s="185">
        <v>-72727.272727272721</v>
      </c>
      <c r="E169" s="185">
        <v>-138181.81818181818</v>
      </c>
      <c r="F169" s="217">
        <f>E169-F173</f>
        <v>-196363.63636363635</v>
      </c>
      <c r="G169" s="217">
        <f>F169</f>
        <v>-196363.63636363635</v>
      </c>
    </row>
    <row r="170" spans="1:7" x14ac:dyDescent="0.2">
      <c r="B170" s="7" t="s">
        <v>718</v>
      </c>
      <c r="D170" s="213">
        <v>0</v>
      </c>
      <c r="E170" s="213">
        <v>0</v>
      </c>
      <c r="F170" s="218">
        <v>0</v>
      </c>
      <c r="G170" s="217">
        <f>-C205</f>
        <v>-57583.799105575599</v>
      </c>
    </row>
    <row r="171" spans="1:7" x14ac:dyDescent="0.2">
      <c r="B171" s="7" t="s">
        <v>99</v>
      </c>
      <c r="D171" s="214">
        <v>327272.72727272729</v>
      </c>
      <c r="E171" s="214">
        <v>261818.18181818182</v>
      </c>
      <c r="F171" s="219">
        <f>F168+F169+F170</f>
        <v>203636.36363636365</v>
      </c>
      <c r="G171" s="219">
        <f>G168+G169+G170</f>
        <v>146052.56453078805</v>
      </c>
    </row>
    <row r="172" spans="1:7" x14ac:dyDescent="0.2">
      <c r="B172" s="7"/>
      <c r="D172" s="9"/>
      <c r="E172" s="9"/>
      <c r="F172" s="227"/>
      <c r="G172" s="227"/>
    </row>
    <row r="173" spans="1:7" x14ac:dyDescent="0.2">
      <c r="B173" s="7" t="s">
        <v>100</v>
      </c>
      <c r="D173" s="185">
        <v>72727.272727272721</v>
      </c>
      <c r="E173" s="185">
        <v>65454.545454545456</v>
      </c>
      <c r="F173" s="217">
        <f>400000*8/55</f>
        <v>58181.818181818184</v>
      </c>
      <c r="G173" s="217">
        <f>F173</f>
        <v>58181.818181818184</v>
      </c>
    </row>
    <row r="174" spans="1:7" x14ac:dyDescent="0.2">
      <c r="B174" s="7" t="s">
        <v>891</v>
      </c>
      <c r="D174" s="9"/>
      <c r="E174" s="9"/>
      <c r="F174" s="227"/>
      <c r="G174" s="217">
        <f>-G170</f>
        <v>57583.799105575599</v>
      </c>
    </row>
    <row r="175" spans="1:7" x14ac:dyDescent="0.2">
      <c r="B175" s="7" t="s">
        <v>1454</v>
      </c>
      <c r="D175" s="185">
        <v>3896.1038961038867</v>
      </c>
      <c r="E175" s="185">
        <v>5974.0259740259644</v>
      </c>
      <c r="F175" s="228"/>
      <c r="G175" s="217">
        <f>E212</f>
        <v>20629.716010160133</v>
      </c>
    </row>
    <row r="176" spans="1:7" x14ac:dyDescent="0.2">
      <c r="B176" s="7" t="s">
        <v>1489</v>
      </c>
      <c r="D176" s="213">
        <v>0</v>
      </c>
      <c r="E176" s="213">
        <v>0</v>
      </c>
      <c r="F176" s="229"/>
      <c r="G176" s="230">
        <v>0</v>
      </c>
    </row>
    <row r="177" spans="1:7" x14ac:dyDescent="0.2">
      <c r="B177" s="7" t="s">
        <v>1362</v>
      </c>
      <c r="D177" s="185">
        <v>3896.1038961038867</v>
      </c>
      <c r="E177" s="185">
        <v>2077.9220779220777</v>
      </c>
      <c r="F177" s="228"/>
      <c r="G177" s="217">
        <f>D217</f>
        <v>14655.690036134169</v>
      </c>
    </row>
    <row r="178" spans="1:7" ht="17" thickBot="1" x14ac:dyDescent="0.25">
      <c r="B178" s="10" t="s">
        <v>1364</v>
      </c>
      <c r="C178" s="11"/>
      <c r="D178" s="12"/>
      <c r="E178" s="12"/>
      <c r="F178" s="231"/>
      <c r="G178" s="220"/>
    </row>
    <row r="180" spans="1:7" x14ac:dyDescent="0.2">
      <c r="A180" s="1" t="s">
        <v>1506</v>
      </c>
    </row>
    <row r="181" spans="1:7" x14ac:dyDescent="0.2">
      <c r="A181" s="1" t="s">
        <v>1507</v>
      </c>
    </row>
    <row r="183" spans="1:7" x14ac:dyDescent="0.2">
      <c r="A183" s="193" t="s">
        <v>1508</v>
      </c>
    </row>
    <row r="184" spans="1:7" x14ac:dyDescent="0.2">
      <c r="A184" s="1" t="s">
        <v>1509</v>
      </c>
      <c r="C184" s="23">
        <v>150000</v>
      </c>
    </row>
    <row r="185" spans="1:7" x14ac:dyDescent="0.2">
      <c r="A185" s="1" t="s">
        <v>1510</v>
      </c>
      <c r="C185" s="232">
        <f>-20%*C184</f>
        <v>-30000</v>
      </c>
      <c r="E185" s="1" t="s">
        <v>1511</v>
      </c>
      <c r="F185" s="1" t="s">
        <v>1512</v>
      </c>
    </row>
    <row r="186" spans="1:7" x14ac:dyDescent="0.2">
      <c r="A186" s="1" t="s">
        <v>1513</v>
      </c>
      <c r="C186" s="233">
        <f>C184+C185</f>
        <v>120000</v>
      </c>
    </row>
    <row r="188" spans="1:7" x14ac:dyDescent="0.2">
      <c r="A188" s="193" t="s">
        <v>1514</v>
      </c>
    </row>
    <row r="189" spans="1:7" x14ac:dyDescent="0.2">
      <c r="A189" s="1" t="s">
        <v>1515</v>
      </c>
      <c r="C189" s="23">
        <v>30000</v>
      </c>
    </row>
    <row r="190" spans="1:7" x14ac:dyDescent="0.2">
      <c r="A190" s="1" t="s">
        <v>1516</v>
      </c>
      <c r="C190" s="1">
        <v>7</v>
      </c>
      <c r="E190" s="1" t="s">
        <v>1517</v>
      </c>
      <c r="F190" s="1" t="s">
        <v>1518</v>
      </c>
    </row>
    <row r="191" spans="1:7" x14ac:dyDescent="0.2">
      <c r="A191" s="1" t="s">
        <v>1519</v>
      </c>
      <c r="C191" s="24">
        <v>0.1</v>
      </c>
    </row>
    <row r="192" spans="1:7" x14ac:dyDescent="0.2">
      <c r="A192" s="1" t="s">
        <v>1520</v>
      </c>
      <c r="C192" s="234">
        <f>-PV(C191,C190,C189)</f>
        <v>146052.56453078805</v>
      </c>
      <c r="E192" s="1" t="str">
        <f ca="1">_xlfn.FORMULATEXT(C192)</f>
        <v>=-PV(C191,C190,C189)</v>
      </c>
    </row>
    <row r="194" spans="1:7" x14ac:dyDescent="0.2">
      <c r="A194" s="1" t="s">
        <v>1521</v>
      </c>
      <c r="D194" s="24">
        <v>0.1</v>
      </c>
      <c r="E194" s="1" t="s">
        <v>113</v>
      </c>
    </row>
    <row r="195" spans="1:7" x14ac:dyDescent="0.2">
      <c r="D195" s="1">
        <v>7</v>
      </c>
      <c r="E195" s="1" t="s">
        <v>114</v>
      </c>
    </row>
    <row r="196" spans="1:7" x14ac:dyDescent="0.2">
      <c r="D196" s="1">
        <v>30000</v>
      </c>
      <c r="E196" s="1" t="s">
        <v>115</v>
      </c>
    </row>
    <row r="197" spans="1:7" x14ac:dyDescent="0.2">
      <c r="D197" s="1">
        <v>0</v>
      </c>
      <c r="E197" s="1" t="s">
        <v>117</v>
      </c>
    </row>
    <row r="198" spans="1:7" x14ac:dyDescent="0.2">
      <c r="D198" s="235">
        <f>PV(D194,D195,D196,D197)</f>
        <v>-146052.56453078805</v>
      </c>
      <c r="E198" s="1" t="s">
        <v>116</v>
      </c>
    </row>
    <row r="200" spans="1:7" x14ac:dyDescent="0.2">
      <c r="A200" s="1" t="s">
        <v>1522</v>
      </c>
    </row>
    <row r="201" spans="1:7" x14ac:dyDescent="0.2">
      <c r="C201" s="31">
        <f>C192</f>
        <v>146052.56453078805</v>
      </c>
    </row>
    <row r="203" spans="1:7" x14ac:dyDescent="0.2">
      <c r="A203" s="1" t="s">
        <v>1523</v>
      </c>
      <c r="C203" s="23">
        <f>F171</f>
        <v>203636.36363636365</v>
      </c>
    </row>
    <row r="204" spans="1:7" ht="17" thickBot="1" x14ac:dyDescent="0.25"/>
    <row r="205" spans="1:7" ht="17" thickBot="1" x14ac:dyDescent="0.25">
      <c r="A205" s="32" t="s">
        <v>1524</v>
      </c>
      <c r="B205" s="33"/>
      <c r="C205" s="236">
        <f>C203-C201</f>
        <v>57583.799105575599</v>
      </c>
    </row>
    <row r="207" spans="1:7" x14ac:dyDescent="0.2">
      <c r="B207" s="40"/>
      <c r="C207" s="40" t="s">
        <v>1493</v>
      </c>
      <c r="D207" s="40"/>
      <c r="E207" s="40" t="s">
        <v>1525</v>
      </c>
    </row>
    <row r="208" spans="1:7" x14ac:dyDescent="0.2">
      <c r="A208" s="1" t="s">
        <v>99</v>
      </c>
      <c r="C208" s="21">
        <v>261818.18181818182</v>
      </c>
      <c r="D208" s="19"/>
      <c r="E208" s="222">
        <f>G171</f>
        <v>146052.56453078805</v>
      </c>
      <c r="F208" s="47"/>
      <c r="G208" s="105"/>
    </row>
    <row r="209" spans="1:8" x14ac:dyDescent="0.2">
      <c r="A209" s="1" t="s">
        <v>1054</v>
      </c>
      <c r="C209" s="21">
        <v>285714.28571428568</v>
      </c>
      <c r="D209" s="19"/>
      <c r="E209" s="222">
        <f>400000/7*4</f>
        <v>228571.42857142858</v>
      </c>
      <c r="F209" s="47"/>
      <c r="G209" s="47" t="s">
        <v>1526</v>
      </c>
      <c r="H209" s="47"/>
    </row>
    <row r="210" spans="1:8" x14ac:dyDescent="0.2">
      <c r="A210" s="1" t="s">
        <v>1467</v>
      </c>
      <c r="C210" s="22">
        <v>23896.103896103858</v>
      </c>
      <c r="D210" s="47"/>
      <c r="E210" s="223">
        <f>E209-E208</f>
        <v>82518.864040640532</v>
      </c>
      <c r="F210" s="105"/>
      <c r="G210" s="105"/>
    </row>
    <row r="211" spans="1:8" x14ac:dyDescent="0.2">
      <c r="A211" s="1" t="s">
        <v>1056</v>
      </c>
      <c r="C211" s="183">
        <v>0.25</v>
      </c>
      <c r="D211" s="19"/>
      <c r="E211" s="224">
        <v>0.25</v>
      </c>
      <c r="F211" s="105"/>
      <c r="G211" s="105"/>
    </row>
    <row r="212" spans="1:8" x14ac:dyDescent="0.2">
      <c r="A212" s="1" t="s">
        <v>1468</v>
      </c>
      <c r="C212" s="22">
        <v>5974.0259740259644</v>
      </c>
      <c r="E212" s="223">
        <f>E210*E211</f>
        <v>20629.716010160133</v>
      </c>
      <c r="F212" s="47"/>
      <c r="G212" s="47"/>
    </row>
    <row r="214" spans="1:8" x14ac:dyDescent="0.2">
      <c r="D214" s="1" t="s">
        <v>1527</v>
      </c>
    </row>
    <row r="216" spans="1:8" x14ac:dyDescent="0.2">
      <c r="A216" s="1" t="s">
        <v>1363</v>
      </c>
      <c r="D216" s="21">
        <f>E212-C212</f>
        <v>14655.690036134169</v>
      </c>
      <c r="E216" s="21"/>
    </row>
    <row r="217" spans="1:8" x14ac:dyDescent="0.2">
      <c r="A217" s="1" t="s">
        <v>1498</v>
      </c>
      <c r="D217" s="21">
        <f>D216</f>
        <v>14655.690036134169</v>
      </c>
      <c r="E217" s="21"/>
    </row>
    <row r="219" spans="1:8" x14ac:dyDescent="0.2">
      <c r="A219" s="3" t="s">
        <v>1528</v>
      </c>
      <c r="B219" s="3" t="s">
        <v>1500</v>
      </c>
      <c r="C219" s="41"/>
      <c r="D219" s="41"/>
      <c r="E219" s="41"/>
      <c r="F219" s="41"/>
      <c r="G219" s="41"/>
      <c r="H219" s="41"/>
    </row>
    <row r="221" spans="1:8" x14ac:dyDescent="0.2">
      <c r="A221" s="1" t="s">
        <v>1424</v>
      </c>
    </row>
    <row r="222" spans="1:8" x14ac:dyDescent="0.2">
      <c r="A222" s="1" t="s">
        <v>1425</v>
      </c>
    </row>
    <row r="223" spans="1:8" x14ac:dyDescent="0.2">
      <c r="A223" s="1" t="s">
        <v>1426</v>
      </c>
    </row>
    <row r="224" spans="1:8" ht="17" thickBot="1" x14ac:dyDescent="0.25"/>
    <row r="225" spans="1:8" x14ac:dyDescent="0.2">
      <c r="A225" s="4" t="s">
        <v>1529</v>
      </c>
      <c r="B225" s="5"/>
      <c r="C225" s="5"/>
      <c r="D225" s="5"/>
      <c r="E225" s="5"/>
      <c r="F225" s="5"/>
      <c r="G225" s="5"/>
      <c r="H225" s="6"/>
    </row>
    <row r="226" spans="1:8" x14ac:dyDescent="0.2">
      <c r="A226" s="7" t="s">
        <v>1530</v>
      </c>
      <c r="H226" s="9"/>
    </row>
    <row r="227" spans="1:8" ht="17" thickBot="1" x14ac:dyDescent="0.25">
      <c r="A227" s="10" t="s">
        <v>1531</v>
      </c>
      <c r="B227" s="11"/>
      <c r="C227" s="11"/>
      <c r="D227" s="11"/>
      <c r="E227" s="11"/>
      <c r="F227" s="11"/>
      <c r="G227" s="11"/>
      <c r="H227" s="12"/>
    </row>
    <row r="229" spans="1:8" ht="17" thickBot="1" x14ac:dyDescent="0.25">
      <c r="F229" s="19"/>
      <c r="G229" s="111" t="s">
        <v>893</v>
      </c>
      <c r="H229" s="111" t="s">
        <v>1360</v>
      </c>
    </row>
    <row r="230" spans="1:8" x14ac:dyDescent="0.2">
      <c r="B230" s="4"/>
      <c r="C230" s="5"/>
      <c r="D230" s="184">
        <v>44561</v>
      </c>
      <c r="E230" s="184">
        <v>44926</v>
      </c>
      <c r="F230" s="184">
        <v>45291</v>
      </c>
      <c r="G230" s="225">
        <v>45657</v>
      </c>
      <c r="H230" s="225">
        <v>45657</v>
      </c>
    </row>
    <row r="231" spans="1:8" x14ac:dyDescent="0.2">
      <c r="B231" s="7" t="s">
        <v>95</v>
      </c>
      <c r="D231" s="212">
        <v>400000</v>
      </c>
      <c r="E231" s="212">
        <v>400000</v>
      </c>
      <c r="F231" s="212">
        <v>400000</v>
      </c>
      <c r="G231" s="226">
        <f>F231</f>
        <v>400000</v>
      </c>
      <c r="H231" s="226">
        <f>G231</f>
        <v>400000</v>
      </c>
    </row>
    <row r="232" spans="1:8" x14ac:dyDescent="0.2">
      <c r="B232" s="7" t="s">
        <v>1453</v>
      </c>
      <c r="D232" s="185">
        <v>-72727.272727272721</v>
      </c>
      <c r="E232" s="185">
        <v>-138181.81818181818</v>
      </c>
      <c r="F232" s="185">
        <v>-196363.63636363635</v>
      </c>
      <c r="G232" s="217">
        <f>-G236-E262+F232</f>
        <v>-247272.72727272726</v>
      </c>
      <c r="H232" s="217">
        <f>G232</f>
        <v>-247272.72727272726</v>
      </c>
    </row>
    <row r="233" spans="1:8" x14ac:dyDescent="0.2">
      <c r="B233" s="7" t="s">
        <v>718</v>
      </c>
      <c r="D233" s="213">
        <v>0</v>
      </c>
      <c r="E233" s="213">
        <v>0</v>
      </c>
      <c r="F233" s="185">
        <v>-57583.799105575599</v>
      </c>
      <c r="G233" s="217">
        <f>F233+E262</f>
        <v>-43187.849329181699</v>
      </c>
      <c r="H233" s="217">
        <f>-D296</f>
        <v>-16727.272727272735</v>
      </c>
    </row>
    <row r="234" spans="1:8" x14ac:dyDescent="0.2">
      <c r="B234" s="7" t="s">
        <v>99</v>
      </c>
      <c r="D234" s="214">
        <v>327272.72727272729</v>
      </c>
      <c r="E234" s="214">
        <v>261818.18181818182</v>
      </c>
      <c r="F234" s="214">
        <v>146052.56453078805</v>
      </c>
      <c r="G234" s="219">
        <f>G231+G232+G233</f>
        <v>109539.42339809104</v>
      </c>
      <c r="H234" s="219">
        <f>SUM(H231:H233)</f>
        <v>136000</v>
      </c>
    </row>
    <row r="235" spans="1:8" x14ac:dyDescent="0.2">
      <c r="B235" s="7"/>
      <c r="D235" s="9"/>
      <c r="E235" s="9"/>
      <c r="F235" s="9"/>
      <c r="G235" s="227"/>
      <c r="H235" s="227"/>
    </row>
    <row r="236" spans="1:8" x14ac:dyDescent="0.2">
      <c r="B236" s="7" t="s">
        <v>100</v>
      </c>
      <c r="D236" s="185">
        <v>72727.272727272721</v>
      </c>
      <c r="E236" s="185">
        <v>65454.545454545456</v>
      </c>
      <c r="F236" s="185">
        <v>58181.818181818184</v>
      </c>
      <c r="G236" s="217">
        <f>E250</f>
        <v>36513.141132697012</v>
      </c>
      <c r="H236" s="217">
        <f>G236</f>
        <v>36513.141132697012</v>
      </c>
    </row>
    <row r="237" spans="1:8" x14ac:dyDescent="0.2">
      <c r="B237" s="7" t="s">
        <v>891</v>
      </c>
      <c r="D237" s="9"/>
      <c r="E237" s="9"/>
      <c r="F237" s="185">
        <v>57583.799105575599</v>
      </c>
      <c r="G237" s="228"/>
      <c r="H237" s="217"/>
    </row>
    <row r="238" spans="1:8" x14ac:dyDescent="0.2">
      <c r="B238" s="7" t="s">
        <v>809</v>
      </c>
      <c r="D238" s="9"/>
      <c r="E238" s="9"/>
      <c r="F238" s="185"/>
      <c r="G238" s="228"/>
      <c r="H238" s="217">
        <f>H282</f>
        <v>26460.576601908964</v>
      </c>
    </row>
    <row r="239" spans="1:8" x14ac:dyDescent="0.2">
      <c r="B239" s="7" t="s">
        <v>1454</v>
      </c>
      <c r="D239" s="185">
        <v>3896.1038961038867</v>
      </c>
      <c r="E239" s="185">
        <v>5974.0259740259644</v>
      </c>
      <c r="F239" s="185">
        <v>20629.716010160133</v>
      </c>
      <c r="G239" s="228"/>
      <c r="H239" s="217">
        <f>F303</f>
        <v>8857.1428571428551</v>
      </c>
    </row>
    <row r="240" spans="1:8" x14ac:dyDescent="0.2">
      <c r="B240" s="7" t="s">
        <v>1489</v>
      </c>
      <c r="D240" s="213">
        <v>0</v>
      </c>
      <c r="E240" s="213">
        <v>0</v>
      </c>
      <c r="F240" s="213">
        <v>0</v>
      </c>
      <c r="G240" s="229"/>
      <c r="H240" s="218"/>
    </row>
    <row r="241" spans="1:8" x14ac:dyDescent="0.2">
      <c r="B241" s="7" t="s">
        <v>1362</v>
      </c>
      <c r="D241" s="185">
        <v>3896.1038961038867</v>
      </c>
      <c r="E241" s="185">
        <v>2077.9220779220777</v>
      </c>
      <c r="F241" s="185">
        <v>14655.690036134169</v>
      </c>
      <c r="G241" s="228"/>
      <c r="H241" s="217"/>
    </row>
    <row r="242" spans="1:8" ht="17" thickBot="1" x14ac:dyDescent="0.25">
      <c r="B242" s="10" t="s">
        <v>1364</v>
      </c>
      <c r="C242" s="11"/>
      <c r="D242" s="12"/>
      <c r="E242" s="12"/>
      <c r="F242" s="12"/>
      <c r="G242" s="231"/>
      <c r="H242" s="237">
        <f>D307</f>
        <v>11772.573153017278</v>
      </c>
    </row>
    <row r="244" spans="1:8" x14ac:dyDescent="0.2">
      <c r="A244" s="1" t="s">
        <v>1532</v>
      </c>
    </row>
    <row r="245" spans="1:8" x14ac:dyDescent="0.2">
      <c r="A245" s="1" t="s">
        <v>1533</v>
      </c>
    </row>
    <row r="246" spans="1:8" x14ac:dyDescent="0.2">
      <c r="A246" s="1" t="s">
        <v>1534</v>
      </c>
    </row>
    <row r="248" spans="1:8" x14ac:dyDescent="0.2">
      <c r="A248" s="1" t="s">
        <v>1535</v>
      </c>
      <c r="E248" s="1">
        <v>7</v>
      </c>
      <c r="F248" s="1" t="s">
        <v>1517</v>
      </c>
      <c r="H248" s="1" t="s">
        <v>1536</v>
      </c>
    </row>
    <row r="249" spans="1:8" x14ac:dyDescent="0.2">
      <c r="A249" s="1" t="s">
        <v>1537</v>
      </c>
      <c r="E249" s="1">
        <f>7*8/2</f>
        <v>28</v>
      </c>
      <c r="F249" s="1" t="s">
        <v>1538</v>
      </c>
      <c r="H249" s="1" t="s">
        <v>1539</v>
      </c>
    </row>
    <row r="250" spans="1:8" s="47" customFormat="1" x14ac:dyDescent="0.2">
      <c r="A250" s="47" t="s">
        <v>1540</v>
      </c>
      <c r="E250" s="238">
        <f>F234*E248/E249</f>
        <v>36513.141132697012</v>
      </c>
      <c r="G250" s="47" t="s">
        <v>1541</v>
      </c>
    </row>
    <row r="251" spans="1:8" x14ac:dyDescent="0.2">
      <c r="E251" s="105"/>
      <c r="F251" s="105"/>
      <c r="G251" s="105"/>
    </row>
    <row r="252" spans="1:8" x14ac:dyDescent="0.2">
      <c r="E252" s="105"/>
      <c r="F252" s="105"/>
      <c r="G252" s="105"/>
    </row>
    <row r="253" spans="1:8" x14ac:dyDescent="0.2">
      <c r="E253" s="19" t="s">
        <v>1542</v>
      </c>
      <c r="F253" s="19"/>
      <c r="G253" s="19"/>
      <c r="H253" s="19" t="s">
        <v>1449</v>
      </c>
    </row>
    <row r="254" spans="1:8" ht="17" thickBot="1" x14ac:dyDescent="0.25">
      <c r="D254" s="56">
        <v>45657</v>
      </c>
      <c r="E254" s="56">
        <v>45291</v>
      </c>
      <c r="F254" s="56">
        <v>44926</v>
      </c>
      <c r="G254" s="56">
        <v>44561</v>
      </c>
      <c r="H254" s="56">
        <v>44197</v>
      </c>
    </row>
    <row r="255" spans="1:8" ht="17" thickBot="1" x14ac:dyDescent="0.25">
      <c r="G255" s="321">
        <v>10</v>
      </c>
      <c r="H255" s="322"/>
    </row>
    <row r="256" spans="1:8" x14ac:dyDescent="0.2">
      <c r="F256" s="323">
        <v>9</v>
      </c>
      <c r="G256" s="323"/>
    </row>
    <row r="257" spans="1:7" x14ac:dyDescent="0.2">
      <c r="E257" s="323">
        <v>8</v>
      </c>
      <c r="F257" s="323"/>
    </row>
    <row r="258" spans="1:7" x14ac:dyDescent="0.2">
      <c r="D258" s="320">
        <v>7</v>
      </c>
      <c r="E258" s="320"/>
      <c r="F258" s="105"/>
      <c r="G258" s="105"/>
    </row>
    <row r="259" spans="1:7" x14ac:dyDescent="0.2">
      <c r="D259" s="320" t="s">
        <v>1543</v>
      </c>
      <c r="E259" s="320"/>
      <c r="F259" s="105"/>
      <c r="G259" s="105"/>
    </row>
    <row r="260" spans="1:7" x14ac:dyDescent="0.2">
      <c r="E260" s="105"/>
      <c r="F260" s="105"/>
      <c r="G260" s="105"/>
    </row>
    <row r="261" spans="1:7" s="47" customFormat="1" x14ac:dyDescent="0.2">
      <c r="A261" s="47" t="s">
        <v>1544</v>
      </c>
    </row>
    <row r="262" spans="1:7" s="47" customFormat="1" x14ac:dyDescent="0.2">
      <c r="E262" s="238">
        <f>-F233*E248/E249</f>
        <v>14395.9497763939</v>
      </c>
      <c r="G262" s="47" t="s">
        <v>1545</v>
      </c>
    </row>
    <row r="263" spans="1:7" x14ac:dyDescent="0.2">
      <c r="E263" s="105"/>
      <c r="F263" s="105"/>
      <c r="G263" s="105"/>
    </row>
    <row r="264" spans="1:7" x14ac:dyDescent="0.2">
      <c r="A264" s="1" t="s">
        <v>1546</v>
      </c>
      <c r="E264" s="105"/>
      <c r="F264" s="105"/>
      <c r="G264" s="105"/>
    </row>
    <row r="265" spans="1:7" x14ac:dyDescent="0.2">
      <c r="B265" s="1" t="s">
        <v>1547</v>
      </c>
      <c r="E265" s="114">
        <f>-F232</f>
        <v>196363.63636363635</v>
      </c>
      <c r="F265" s="105"/>
      <c r="G265" s="105"/>
    </row>
    <row r="266" spans="1:7" x14ac:dyDescent="0.2">
      <c r="B266" s="1" t="s">
        <v>1548</v>
      </c>
      <c r="E266" s="114">
        <f>E250</f>
        <v>36513.141132697012</v>
      </c>
      <c r="F266" s="105"/>
      <c r="G266" s="105"/>
    </row>
    <row r="267" spans="1:7" x14ac:dyDescent="0.2">
      <c r="B267" s="1" t="s">
        <v>1549</v>
      </c>
      <c r="E267" s="114">
        <f>E262</f>
        <v>14395.9497763939</v>
      </c>
      <c r="F267" s="105"/>
      <c r="G267" s="105"/>
    </row>
    <row r="268" spans="1:7" x14ac:dyDescent="0.2">
      <c r="B268" s="1" t="s">
        <v>1550</v>
      </c>
      <c r="E268" s="115">
        <f>SUM(E265:E267)</f>
        <v>247272.72727272724</v>
      </c>
      <c r="F268" s="105"/>
      <c r="G268" s="105"/>
    </row>
    <row r="270" spans="1:7" ht="17" thickBot="1" x14ac:dyDescent="0.25">
      <c r="A270" s="1" t="s">
        <v>1551</v>
      </c>
    </row>
    <row r="271" spans="1:7" ht="17" thickBot="1" x14ac:dyDescent="0.25">
      <c r="A271" s="1" t="s">
        <v>1552</v>
      </c>
      <c r="E271" s="239">
        <f>170000*0.8</f>
        <v>136000</v>
      </c>
      <c r="G271" s="1" t="s">
        <v>1553</v>
      </c>
    </row>
    <row r="273" spans="1:8" x14ac:dyDescent="0.2">
      <c r="A273" s="1" t="s">
        <v>1554</v>
      </c>
      <c r="H273" s="1" t="s">
        <v>1555</v>
      </c>
    </row>
    <row r="274" spans="1:8" x14ac:dyDescent="0.2">
      <c r="B274" s="1" t="s">
        <v>1556</v>
      </c>
      <c r="E274" s="23">
        <v>15000</v>
      </c>
      <c r="G274" s="1" t="s">
        <v>1557</v>
      </c>
    </row>
    <row r="275" spans="1:8" x14ac:dyDescent="0.2">
      <c r="B275" s="1" t="s">
        <v>1558</v>
      </c>
      <c r="E275" s="1">
        <v>6</v>
      </c>
      <c r="F275" s="1" t="s">
        <v>1559</v>
      </c>
    </row>
    <row r="276" spans="1:8" x14ac:dyDescent="0.2">
      <c r="B276" s="1" t="s">
        <v>1560</v>
      </c>
      <c r="E276" s="24">
        <v>0.1</v>
      </c>
    </row>
    <row r="277" spans="1:8" ht="17" thickBot="1" x14ac:dyDescent="0.25"/>
    <row r="278" spans="1:8" ht="17" thickBot="1" x14ac:dyDescent="0.25">
      <c r="B278" s="1" t="s">
        <v>1000</v>
      </c>
      <c r="E278" s="68">
        <f>-PV(E276,E275,E274)</f>
        <v>65328.91049193342</v>
      </c>
    </row>
    <row r="279" spans="1:8" ht="17" thickBot="1" x14ac:dyDescent="0.25"/>
    <row r="280" spans="1:8" ht="17" thickBot="1" x14ac:dyDescent="0.25">
      <c r="A280" s="1" t="s">
        <v>1561</v>
      </c>
      <c r="H280" s="240">
        <f>E271</f>
        <v>136000</v>
      </c>
    </row>
    <row r="281" spans="1:8" ht="17" thickBot="1" x14ac:dyDescent="0.25">
      <c r="A281" s="1" t="s">
        <v>1562</v>
      </c>
      <c r="H281" s="23">
        <f>G234</f>
        <v>109539.42339809104</v>
      </c>
    </row>
    <row r="282" spans="1:8" ht="17" thickBot="1" x14ac:dyDescent="0.25">
      <c r="A282" s="1" t="s">
        <v>1563</v>
      </c>
      <c r="H282" s="240">
        <f>H280-H281</f>
        <v>26460.576601908964</v>
      </c>
    </row>
    <row r="284" spans="1:8" x14ac:dyDescent="0.2">
      <c r="A284" s="1" t="s">
        <v>1564</v>
      </c>
      <c r="H284" s="73">
        <f>-G233</f>
        <v>43187.849329181699</v>
      </c>
    </row>
    <row r="286" spans="1:8" x14ac:dyDescent="0.2">
      <c r="A286" s="1" t="s">
        <v>1565</v>
      </c>
    </row>
    <row r="287" spans="1:8" x14ac:dyDescent="0.2">
      <c r="A287" s="1" t="s">
        <v>1566</v>
      </c>
    </row>
    <row r="289" spans="1:8" x14ac:dyDescent="0.2">
      <c r="B289" s="1" t="s">
        <v>908</v>
      </c>
      <c r="D289" s="73">
        <f>H282</f>
        <v>26460.576601908964</v>
      </c>
    </row>
    <row r="290" spans="1:8" x14ac:dyDescent="0.2">
      <c r="B290" s="1" t="s">
        <v>1567</v>
      </c>
      <c r="D290" s="73">
        <f>D289</f>
        <v>26460.576601908964</v>
      </c>
    </row>
    <row r="292" spans="1:8" x14ac:dyDescent="0.2">
      <c r="A292" s="1" t="s">
        <v>1568</v>
      </c>
    </row>
    <row r="293" spans="1:8" x14ac:dyDescent="0.2">
      <c r="B293" s="1" t="s">
        <v>1569</v>
      </c>
      <c r="D293" s="73">
        <f>-F233</f>
        <v>57583.799105575599</v>
      </c>
    </row>
    <row r="294" spans="1:8" x14ac:dyDescent="0.2">
      <c r="B294" s="1" t="s">
        <v>1570</v>
      </c>
      <c r="D294" s="73">
        <f>-E267</f>
        <v>-14395.9497763939</v>
      </c>
    </row>
    <row r="295" spans="1:8" x14ac:dyDescent="0.2">
      <c r="B295" s="1" t="s">
        <v>1571</v>
      </c>
      <c r="D295" s="73">
        <f>-H282</f>
        <v>-26460.576601908964</v>
      </c>
    </row>
    <row r="296" spans="1:8" x14ac:dyDescent="0.2">
      <c r="B296" s="1" t="s">
        <v>1572</v>
      </c>
      <c r="D296" s="74">
        <f>SUM(D293:D295)</f>
        <v>16727.272727272735</v>
      </c>
    </row>
    <row r="298" spans="1:8" x14ac:dyDescent="0.2">
      <c r="C298" s="40"/>
      <c r="D298" s="40" t="s">
        <v>1525</v>
      </c>
      <c r="E298" s="40"/>
      <c r="F298" s="40" t="s">
        <v>1573</v>
      </c>
    </row>
    <row r="299" spans="1:8" x14ac:dyDescent="0.2">
      <c r="B299" s="1" t="s">
        <v>99</v>
      </c>
      <c r="D299" s="21">
        <v>146052.56453078805</v>
      </c>
      <c r="E299" s="19"/>
      <c r="F299" s="222">
        <f>H234</f>
        <v>136000</v>
      </c>
    </row>
    <row r="300" spans="1:8" x14ac:dyDescent="0.2">
      <c r="B300" s="1" t="s">
        <v>1054</v>
      </c>
      <c r="D300" s="21">
        <v>228571.42857142858</v>
      </c>
      <c r="E300" s="19"/>
      <c r="F300" s="222">
        <f>400000/7*3</f>
        <v>171428.57142857142</v>
      </c>
      <c r="H300" s="1" t="s">
        <v>1574</v>
      </c>
    </row>
    <row r="301" spans="1:8" x14ac:dyDescent="0.2">
      <c r="B301" s="1" t="s">
        <v>1467</v>
      </c>
      <c r="D301" s="22">
        <v>82518.864040640532</v>
      </c>
      <c r="F301" s="223">
        <f>F300-F299</f>
        <v>35428.57142857142</v>
      </c>
    </row>
    <row r="302" spans="1:8" x14ac:dyDescent="0.2">
      <c r="B302" s="1" t="s">
        <v>1056</v>
      </c>
      <c r="D302" s="183">
        <v>0.25</v>
      </c>
      <c r="E302" s="19"/>
      <c r="F302" s="224">
        <v>0.25</v>
      </c>
    </row>
    <row r="303" spans="1:8" x14ac:dyDescent="0.2">
      <c r="B303" s="1" t="s">
        <v>1468</v>
      </c>
      <c r="D303" s="22">
        <v>20629.716010160133</v>
      </c>
      <c r="F303" s="223">
        <f>F301*F302</f>
        <v>8857.1428571428551</v>
      </c>
    </row>
    <row r="305" spans="1:8" x14ac:dyDescent="0.2">
      <c r="D305" s="1" t="s">
        <v>1575</v>
      </c>
    </row>
    <row r="306" spans="1:8" x14ac:dyDescent="0.2">
      <c r="E306" s="1" t="s">
        <v>1576</v>
      </c>
      <c r="F306" s="73">
        <f>D303-F303</f>
        <v>11772.573153017278</v>
      </c>
    </row>
    <row r="307" spans="1:8" x14ac:dyDescent="0.2">
      <c r="B307" s="1" t="s">
        <v>1368</v>
      </c>
      <c r="D307" s="21">
        <f>D308</f>
        <v>11772.573153017278</v>
      </c>
    </row>
    <row r="308" spans="1:8" x14ac:dyDescent="0.2">
      <c r="B308" s="1" t="s">
        <v>1370</v>
      </c>
      <c r="D308" s="21">
        <f>D303-F303</f>
        <v>11772.573153017278</v>
      </c>
    </row>
    <row r="310" spans="1:8" x14ac:dyDescent="0.2">
      <c r="A310" s="3" t="s">
        <v>1577</v>
      </c>
      <c r="B310" s="3" t="s">
        <v>1500</v>
      </c>
      <c r="C310" s="41"/>
      <c r="D310" s="41"/>
      <c r="E310" s="41"/>
      <c r="F310" s="41"/>
      <c r="G310" s="41"/>
      <c r="H310" s="41"/>
    </row>
    <row r="311" spans="1:8" x14ac:dyDescent="0.2">
      <c r="A311" s="1" t="s">
        <v>1578</v>
      </c>
    </row>
    <row r="312" spans="1:8" x14ac:dyDescent="0.2">
      <c r="A312" s="1" t="s">
        <v>1428</v>
      </c>
    </row>
    <row r="313" spans="1:8" x14ac:dyDescent="0.2">
      <c r="A313" s="1" t="s">
        <v>1429</v>
      </c>
    </row>
    <row r="315" spans="1:8" ht="17" thickBot="1" x14ac:dyDescent="0.25">
      <c r="E315" s="19"/>
      <c r="F315" s="19"/>
      <c r="G315" s="19" t="s">
        <v>893</v>
      </c>
      <c r="H315" s="19" t="s">
        <v>1360</v>
      </c>
    </row>
    <row r="316" spans="1:8" x14ac:dyDescent="0.2">
      <c r="A316" s="4"/>
      <c r="B316" s="5"/>
      <c r="C316" s="184">
        <v>44561</v>
      </c>
      <c r="D316" s="184">
        <v>44926</v>
      </c>
      <c r="E316" s="184">
        <v>45291</v>
      </c>
      <c r="F316" s="184">
        <v>45657</v>
      </c>
      <c r="G316" s="184">
        <v>46022</v>
      </c>
      <c r="H316" s="184">
        <v>46022</v>
      </c>
    </row>
    <row r="317" spans="1:8" x14ac:dyDescent="0.2">
      <c r="A317" s="7" t="s">
        <v>95</v>
      </c>
      <c r="C317" s="212">
        <v>400000</v>
      </c>
      <c r="D317" s="212">
        <v>400000</v>
      </c>
      <c r="E317" s="212">
        <v>400000</v>
      </c>
      <c r="F317" s="212">
        <v>400000</v>
      </c>
      <c r="G317" s="226">
        <f>F317</f>
        <v>400000</v>
      </c>
      <c r="H317" s="226">
        <f>G317</f>
        <v>400000</v>
      </c>
    </row>
    <row r="318" spans="1:8" x14ac:dyDescent="0.2">
      <c r="A318" s="7" t="s">
        <v>1453</v>
      </c>
      <c r="C318" s="185">
        <v>-72727.272727272721</v>
      </c>
      <c r="D318" s="185">
        <v>-138181.81818181818</v>
      </c>
      <c r="E318" s="185">
        <v>-196363.63636363635</v>
      </c>
      <c r="F318" s="185">
        <v>-247272.72727272726</v>
      </c>
      <c r="G318" s="217">
        <f>-D347</f>
        <v>-298077.92207792209</v>
      </c>
      <c r="H318" s="217">
        <f>G318</f>
        <v>-298077.92207792209</v>
      </c>
    </row>
    <row r="319" spans="1:8" x14ac:dyDescent="0.2">
      <c r="A319" s="7" t="s">
        <v>718</v>
      </c>
      <c r="C319" s="213">
        <v>0</v>
      </c>
      <c r="D319" s="213">
        <v>0</v>
      </c>
      <c r="E319" s="185">
        <v>-57583.799105575599</v>
      </c>
      <c r="F319" s="185">
        <v>-16727.272727272735</v>
      </c>
      <c r="G319" s="217">
        <f>-D342</f>
        <v>-11948.051948051954</v>
      </c>
      <c r="H319" s="217">
        <f>G319-D359</f>
        <v>-64014.210227993404</v>
      </c>
    </row>
    <row r="320" spans="1:8" x14ac:dyDescent="0.2">
      <c r="A320" s="7" t="s">
        <v>99</v>
      </c>
      <c r="C320" s="214">
        <v>327272.72727272729</v>
      </c>
      <c r="D320" s="214">
        <v>261818.18181818182</v>
      </c>
      <c r="E320" s="214">
        <v>146052.56453078805</v>
      </c>
      <c r="F320" s="214">
        <v>136000</v>
      </c>
      <c r="G320" s="219">
        <f>SUM(G317:G319)</f>
        <v>89974.02597402595</v>
      </c>
      <c r="H320" s="219">
        <f>SUM(H317:H319)</f>
        <v>37907.867694084503</v>
      </c>
    </row>
    <row r="321" spans="1:8" x14ac:dyDescent="0.2">
      <c r="A321" s="7"/>
      <c r="C321" s="9"/>
      <c r="D321" s="9"/>
      <c r="E321" s="9"/>
      <c r="F321" s="9"/>
      <c r="G321" s="227"/>
      <c r="H321" s="227"/>
    </row>
    <row r="322" spans="1:8" x14ac:dyDescent="0.2">
      <c r="A322" s="7" t="s">
        <v>100</v>
      </c>
      <c r="C322" s="185">
        <v>72727.272727272721</v>
      </c>
      <c r="D322" s="185">
        <v>65454.545454545456</v>
      </c>
      <c r="E322" s="185">
        <v>58181.818181818184</v>
      </c>
      <c r="F322" s="185">
        <v>36513.141132697012</v>
      </c>
      <c r="G322" s="217">
        <f>D334</f>
        <v>38857.142857142855</v>
      </c>
      <c r="H322" s="217">
        <f>G322</f>
        <v>38857.142857142855</v>
      </c>
    </row>
    <row r="323" spans="1:8" x14ac:dyDescent="0.2">
      <c r="A323" s="7" t="s">
        <v>891</v>
      </c>
      <c r="C323" s="9"/>
      <c r="D323" s="9"/>
      <c r="E323" s="185">
        <v>57583.799105575599</v>
      </c>
      <c r="F323" s="185"/>
      <c r="G323" s="228"/>
      <c r="H323" s="217">
        <f>D359</f>
        <v>52066.158279941446</v>
      </c>
    </row>
    <row r="324" spans="1:8" x14ac:dyDescent="0.2">
      <c r="A324" s="7" t="s">
        <v>809</v>
      </c>
      <c r="C324" s="9"/>
      <c r="D324" s="9"/>
      <c r="E324" s="185"/>
      <c r="F324" s="185">
        <v>26460.576601908964</v>
      </c>
      <c r="G324" s="228"/>
      <c r="H324" s="217">
        <v>0</v>
      </c>
    </row>
    <row r="325" spans="1:8" x14ac:dyDescent="0.2">
      <c r="A325" s="7" t="s">
        <v>1454</v>
      </c>
      <c r="C325" s="185">
        <v>3896.1038961038867</v>
      </c>
      <c r="D325" s="185">
        <v>5974.0259740259644</v>
      </c>
      <c r="E325" s="185">
        <v>20629.716010160133</v>
      </c>
      <c r="F325" s="185">
        <v>8857.1428571428551</v>
      </c>
      <c r="G325" s="228"/>
      <c r="H325" s="217">
        <f>F366</f>
        <v>19094.461647907447</v>
      </c>
    </row>
    <row r="326" spans="1:8" x14ac:dyDescent="0.2">
      <c r="A326" s="7" t="s">
        <v>1489</v>
      </c>
      <c r="C326" s="213">
        <v>0</v>
      </c>
      <c r="D326" s="213">
        <v>0</v>
      </c>
      <c r="E326" s="213">
        <v>0</v>
      </c>
      <c r="F326" s="213">
        <v>0</v>
      </c>
      <c r="G326" s="229"/>
      <c r="H326" s="218">
        <v>0</v>
      </c>
    </row>
    <row r="327" spans="1:8" x14ac:dyDescent="0.2">
      <c r="A327" s="7" t="s">
        <v>1362</v>
      </c>
      <c r="C327" s="185">
        <v>3896.1038961038867</v>
      </c>
      <c r="D327" s="185">
        <v>2077.9220779220777</v>
      </c>
      <c r="E327" s="185">
        <v>14655.690036134169</v>
      </c>
      <c r="F327" s="185"/>
      <c r="G327" s="228"/>
      <c r="H327" s="217">
        <f>D370</f>
        <v>10237.318790764592</v>
      </c>
    </row>
    <row r="328" spans="1:8" ht="17" thickBot="1" x14ac:dyDescent="0.25">
      <c r="A328" s="10" t="s">
        <v>1364</v>
      </c>
      <c r="B328" s="11"/>
      <c r="C328" s="12"/>
      <c r="D328" s="12"/>
      <c r="E328" s="12"/>
      <c r="F328" s="188">
        <v>11772.573153017278</v>
      </c>
      <c r="G328" s="241"/>
      <c r="H328" s="237"/>
    </row>
    <row r="330" spans="1:8" x14ac:dyDescent="0.2">
      <c r="A330" s="1" t="s">
        <v>1579</v>
      </c>
    </row>
    <row r="332" spans="1:8" x14ac:dyDescent="0.2">
      <c r="A332" s="1" t="s">
        <v>1580</v>
      </c>
      <c r="D332" s="1">
        <v>6</v>
      </c>
      <c r="F332" s="1" t="s">
        <v>1559</v>
      </c>
      <c r="H332" s="1" t="s">
        <v>1581</v>
      </c>
    </row>
    <row r="333" spans="1:8" x14ac:dyDescent="0.2">
      <c r="A333" s="1" t="s">
        <v>1582</v>
      </c>
      <c r="D333" s="1">
        <f>6*7/2</f>
        <v>21</v>
      </c>
      <c r="F333" s="1" t="s">
        <v>1583</v>
      </c>
    </row>
    <row r="334" spans="1:8" x14ac:dyDescent="0.2">
      <c r="A334" s="1" t="s">
        <v>1584</v>
      </c>
      <c r="D334" s="242">
        <f>F320*D332/D333</f>
        <v>38857.142857142855</v>
      </c>
      <c r="F334" s="1" t="s">
        <v>1585</v>
      </c>
    </row>
    <row r="336" spans="1:8" x14ac:dyDescent="0.2">
      <c r="A336" s="1" t="s">
        <v>1586</v>
      </c>
    </row>
    <row r="338" spans="1:6" x14ac:dyDescent="0.2">
      <c r="A338" s="1" t="s">
        <v>1587</v>
      </c>
    </row>
    <row r="340" spans="1:6" x14ac:dyDescent="0.2">
      <c r="A340" s="1" t="s">
        <v>1588</v>
      </c>
      <c r="D340" s="73">
        <f>-F319</f>
        <v>16727.272727272735</v>
      </c>
    </row>
    <row r="341" spans="1:6" x14ac:dyDescent="0.2">
      <c r="A341" s="1" t="s">
        <v>1589</v>
      </c>
      <c r="D341" s="242">
        <f>D340*D332/D333</f>
        <v>4779.2207792207819</v>
      </c>
      <c r="F341" s="1" t="s">
        <v>1590</v>
      </c>
    </row>
    <row r="342" spans="1:6" x14ac:dyDescent="0.2">
      <c r="A342" s="1" t="s">
        <v>1591</v>
      </c>
      <c r="D342" s="243">
        <f>D340-D341</f>
        <v>11948.051948051954</v>
      </c>
    </row>
    <row r="343" spans="1:6" x14ac:dyDescent="0.2">
      <c r="D343" s="232"/>
    </row>
    <row r="344" spans="1:6" x14ac:dyDescent="0.2">
      <c r="A344" s="1" t="s">
        <v>1592</v>
      </c>
      <c r="B344" s="1" t="s">
        <v>1593</v>
      </c>
      <c r="D344" s="232">
        <f>-F318</f>
        <v>247272.72727272726</v>
      </c>
    </row>
    <row r="345" spans="1:6" x14ac:dyDescent="0.2">
      <c r="B345" s="1" t="s">
        <v>1594</v>
      </c>
      <c r="D345" s="232">
        <f>D334</f>
        <v>38857.142857142855</v>
      </c>
    </row>
    <row r="346" spans="1:6" x14ac:dyDescent="0.2">
      <c r="B346" s="1" t="s">
        <v>1595</v>
      </c>
      <c r="D346" s="73">
        <f>D342</f>
        <v>11948.051948051954</v>
      </c>
      <c r="E346" s="104" t="s">
        <v>1660</v>
      </c>
    </row>
    <row r="347" spans="1:6" x14ac:dyDescent="0.2">
      <c r="B347" s="1" t="s">
        <v>1596</v>
      </c>
      <c r="D347" s="74">
        <f>SUM(D344:D346)</f>
        <v>298077.92207792209</v>
      </c>
      <c r="E347" s="1" t="s">
        <v>1597</v>
      </c>
    </row>
    <row r="349" spans="1:6" x14ac:dyDescent="0.2">
      <c r="A349" s="1" t="s">
        <v>1598</v>
      </c>
    </row>
    <row r="350" spans="1:6" x14ac:dyDescent="0.2">
      <c r="A350" s="1" t="s">
        <v>1599</v>
      </c>
    </row>
    <row r="352" spans="1:6" x14ac:dyDescent="0.2">
      <c r="A352" s="1" t="s">
        <v>1600</v>
      </c>
      <c r="D352" s="1">
        <v>5</v>
      </c>
      <c r="F352" s="1" t="s">
        <v>1601</v>
      </c>
    </row>
    <row r="353" spans="1:9" x14ac:dyDescent="0.2">
      <c r="A353" s="1" t="s">
        <v>1602</v>
      </c>
      <c r="D353" s="23">
        <v>10000</v>
      </c>
    </row>
    <row r="354" spans="1:9" x14ac:dyDescent="0.2">
      <c r="A354" s="1" t="s">
        <v>1519</v>
      </c>
      <c r="D354" s="24">
        <v>0.1</v>
      </c>
    </row>
    <row r="356" spans="1:9" x14ac:dyDescent="0.2">
      <c r="A356" s="1" t="s">
        <v>1603</v>
      </c>
      <c r="D356" s="244">
        <f>-PV(D354,D352,D353)</f>
        <v>37907.867694084503</v>
      </c>
      <c r="E356" s="1" t="s">
        <v>1604</v>
      </c>
    </row>
    <row r="357" spans="1:9" x14ac:dyDescent="0.2">
      <c r="A357" s="1" t="s">
        <v>1605</v>
      </c>
      <c r="D357" s="23">
        <f>G320</f>
        <v>89974.02597402595</v>
      </c>
    </row>
    <row r="359" spans="1:9" x14ac:dyDescent="0.2">
      <c r="A359" s="1" t="s">
        <v>1524</v>
      </c>
      <c r="D359" s="23">
        <f>D357-D356</f>
        <v>52066.158279941446</v>
      </c>
      <c r="F359" s="1" t="s">
        <v>1606</v>
      </c>
    </row>
    <row r="361" spans="1:9" x14ac:dyDescent="0.2">
      <c r="C361" s="40"/>
      <c r="D361" s="40" t="s">
        <v>1573</v>
      </c>
      <c r="E361" s="40"/>
      <c r="F361" s="40" t="s">
        <v>1607</v>
      </c>
    </row>
    <row r="362" spans="1:9" x14ac:dyDescent="0.2">
      <c r="B362" s="1" t="s">
        <v>99</v>
      </c>
      <c r="D362" s="21">
        <v>136000</v>
      </c>
      <c r="E362" s="19"/>
      <c r="F362" s="222">
        <f>H320</f>
        <v>37907.867694084503</v>
      </c>
      <c r="G362" s="47"/>
      <c r="H362" s="47"/>
    </row>
    <row r="363" spans="1:9" x14ac:dyDescent="0.2">
      <c r="B363" s="1" t="s">
        <v>1054</v>
      </c>
      <c r="D363" s="21">
        <v>171428.57142857142</v>
      </c>
      <c r="E363" s="19"/>
      <c r="F363" s="222">
        <f>400000/7*2</f>
        <v>114285.71428571429</v>
      </c>
      <c r="G363" s="47"/>
      <c r="H363" s="47" t="s">
        <v>1608</v>
      </c>
      <c r="I363" s="47"/>
    </row>
    <row r="364" spans="1:9" x14ac:dyDescent="0.2">
      <c r="B364" s="1" t="s">
        <v>1467</v>
      </c>
      <c r="D364" s="22">
        <v>35428.57142857142</v>
      </c>
      <c r="F364" s="223">
        <f>F363-F362</f>
        <v>76377.846591629786</v>
      </c>
    </row>
    <row r="365" spans="1:9" x14ac:dyDescent="0.2">
      <c r="B365" s="1" t="s">
        <v>1056</v>
      </c>
      <c r="D365" s="183">
        <v>0.25</v>
      </c>
      <c r="E365" s="19"/>
      <c r="F365" s="224">
        <v>0.25</v>
      </c>
    </row>
    <row r="366" spans="1:9" x14ac:dyDescent="0.2">
      <c r="B366" s="1" t="s">
        <v>1468</v>
      </c>
      <c r="D366" s="22">
        <v>8857.1428571428551</v>
      </c>
      <c r="F366" s="223">
        <f>F364*F365</f>
        <v>19094.461647907447</v>
      </c>
    </row>
    <row r="368" spans="1:9" x14ac:dyDescent="0.2">
      <c r="A368" s="1" t="s">
        <v>1609</v>
      </c>
    </row>
    <row r="369" spans="1:9" x14ac:dyDescent="0.2">
      <c r="B369" s="1" t="s">
        <v>1363</v>
      </c>
      <c r="D369" s="21">
        <f>D370</f>
        <v>10237.318790764592</v>
      </c>
    </row>
    <row r="370" spans="1:9" x14ac:dyDescent="0.2">
      <c r="B370" s="1" t="s">
        <v>1610</v>
      </c>
      <c r="D370" s="21">
        <f>F366-D366</f>
        <v>10237.318790764592</v>
      </c>
    </row>
    <row r="372" spans="1:9" x14ac:dyDescent="0.2">
      <c r="A372" s="3" t="s">
        <v>1611</v>
      </c>
      <c r="B372" s="3" t="s">
        <v>1612</v>
      </c>
      <c r="C372" s="41"/>
      <c r="D372" s="41"/>
      <c r="E372" s="41"/>
      <c r="F372" s="41"/>
      <c r="G372" s="41"/>
      <c r="H372" s="41"/>
    </row>
    <row r="373" spans="1:9" x14ac:dyDescent="0.2">
      <c r="A373" s="1" t="s">
        <v>1430</v>
      </c>
    </row>
    <row r="374" spans="1:9" x14ac:dyDescent="0.2">
      <c r="A374" s="1" t="s">
        <v>1431</v>
      </c>
    </row>
    <row r="375" spans="1:9" x14ac:dyDescent="0.2">
      <c r="A375" s="1" t="s">
        <v>1432</v>
      </c>
    </row>
    <row r="377" spans="1:9" ht="17" thickBot="1" x14ac:dyDescent="0.25">
      <c r="E377" s="19"/>
      <c r="F377" s="19"/>
      <c r="G377" s="19"/>
      <c r="H377" s="19" t="s">
        <v>893</v>
      </c>
      <c r="I377" s="1" t="s">
        <v>1360</v>
      </c>
    </row>
    <row r="378" spans="1:9" x14ac:dyDescent="0.2">
      <c r="A378" s="4"/>
      <c r="B378" s="5"/>
      <c r="C378" s="184">
        <v>44561</v>
      </c>
      <c r="D378" s="184">
        <v>44926</v>
      </c>
      <c r="E378" s="184">
        <v>45291</v>
      </c>
      <c r="F378" s="184">
        <v>45657</v>
      </c>
      <c r="G378" s="184">
        <v>46022</v>
      </c>
      <c r="H378" s="184">
        <v>46387</v>
      </c>
      <c r="I378" s="184">
        <v>42735</v>
      </c>
    </row>
    <row r="379" spans="1:9" x14ac:dyDescent="0.2">
      <c r="A379" s="7" t="s">
        <v>95</v>
      </c>
      <c r="C379" s="212">
        <v>400000</v>
      </c>
      <c r="D379" s="212">
        <v>400000</v>
      </c>
      <c r="E379" s="212">
        <v>400000</v>
      </c>
      <c r="F379" s="212">
        <v>400000</v>
      </c>
      <c r="G379" s="212">
        <v>400000</v>
      </c>
      <c r="H379" s="226">
        <f>G379</f>
        <v>400000</v>
      </c>
      <c r="I379" s="226">
        <f>H379</f>
        <v>400000</v>
      </c>
    </row>
    <row r="380" spans="1:9" x14ac:dyDescent="0.2">
      <c r="A380" s="7" t="s">
        <v>1453</v>
      </c>
      <c r="C380" s="185">
        <v>-72727.272727272721</v>
      </c>
      <c r="D380" s="185">
        <v>-138181.81818181818</v>
      </c>
      <c r="E380" s="185">
        <v>-196363.63636363635</v>
      </c>
      <c r="F380" s="185">
        <v>-247272.72727272726</v>
      </c>
      <c r="G380" s="185">
        <v>-298077.92207792209</v>
      </c>
      <c r="H380" s="217">
        <f>-D408</f>
        <v>-332051.99215391988</v>
      </c>
      <c r="I380" s="217">
        <f>H380</f>
        <v>-332051.99215391988</v>
      </c>
    </row>
    <row r="381" spans="1:9" x14ac:dyDescent="0.2">
      <c r="A381" s="7" t="s">
        <v>718</v>
      </c>
      <c r="C381" s="213">
        <v>0</v>
      </c>
      <c r="D381" s="213">
        <v>0</v>
      </c>
      <c r="E381" s="185">
        <v>-57583.799105575599</v>
      </c>
      <c r="F381" s="185">
        <v>-16727.272727272735</v>
      </c>
      <c r="G381" s="185">
        <v>-64014.210227993404</v>
      </c>
      <c r="H381" s="217">
        <f>-D402</f>
        <v>-42675.929924002194</v>
      </c>
      <c r="I381" s="217">
        <v>0</v>
      </c>
    </row>
    <row r="382" spans="1:9" x14ac:dyDescent="0.2">
      <c r="A382" s="7" t="s">
        <v>99</v>
      </c>
      <c r="C382" s="214">
        <v>327272.72727272729</v>
      </c>
      <c r="D382" s="214">
        <v>261818.18181818182</v>
      </c>
      <c r="E382" s="214">
        <v>146052.56453078805</v>
      </c>
      <c r="F382" s="214">
        <v>136000</v>
      </c>
      <c r="G382" s="214">
        <v>37907.867694084503</v>
      </c>
      <c r="H382" s="219">
        <f>SUM(H379:H381)</f>
        <v>25272.077922077922</v>
      </c>
      <c r="I382" s="219">
        <f>I379+I380</f>
        <v>67948.007846080116</v>
      </c>
    </row>
    <row r="383" spans="1:9" x14ac:dyDescent="0.2">
      <c r="A383" s="7"/>
      <c r="C383" s="9"/>
      <c r="D383" s="9"/>
      <c r="E383" s="9"/>
      <c r="F383" s="9"/>
      <c r="G383" s="9"/>
      <c r="H383" s="245"/>
      <c r="I383" s="227"/>
    </row>
    <row r="384" spans="1:9" x14ac:dyDescent="0.2">
      <c r="A384" s="7" t="s">
        <v>100</v>
      </c>
      <c r="C384" s="185">
        <v>72727.272727272721</v>
      </c>
      <c r="D384" s="185">
        <v>65454.545454545456</v>
      </c>
      <c r="E384" s="185">
        <v>58181.818181818184</v>
      </c>
      <c r="F384" s="185">
        <v>36513.141132697012</v>
      </c>
      <c r="G384" s="185">
        <v>38857.142857142855</v>
      </c>
      <c r="H384" s="217">
        <f>D398</f>
        <v>12636</v>
      </c>
      <c r="I384" s="217">
        <f>H384</f>
        <v>12636</v>
      </c>
    </row>
    <row r="385" spans="1:9" x14ac:dyDescent="0.2">
      <c r="A385" s="7" t="s">
        <v>891</v>
      </c>
      <c r="C385" s="9"/>
      <c r="D385" s="9"/>
      <c r="E385" s="185">
        <v>57583.799105575599</v>
      </c>
      <c r="F385" s="185"/>
      <c r="G385" s="185">
        <v>52066.158279941446</v>
      </c>
      <c r="H385" s="228"/>
      <c r="I385" s="217"/>
    </row>
    <row r="386" spans="1:9" x14ac:dyDescent="0.2">
      <c r="A386" s="7" t="s">
        <v>809</v>
      </c>
      <c r="C386" s="9"/>
      <c r="D386" s="9"/>
      <c r="E386" s="185"/>
      <c r="F386" s="185">
        <v>26460.576601908964</v>
      </c>
      <c r="G386" s="185">
        <v>0</v>
      </c>
      <c r="H386" s="228"/>
      <c r="I386" s="217">
        <f>-H381</f>
        <v>42675.929924002194</v>
      </c>
    </row>
    <row r="387" spans="1:9" x14ac:dyDescent="0.2">
      <c r="A387" s="7" t="s">
        <v>1454</v>
      </c>
      <c r="C387" s="185">
        <v>3896.1038961038867</v>
      </c>
      <c r="D387" s="185">
        <v>5974.0259740259644</v>
      </c>
      <c r="E387" s="185">
        <v>20629.716010160133</v>
      </c>
      <c r="F387" s="185">
        <v>8857.1428571428551</v>
      </c>
      <c r="G387" s="185">
        <v>19094.461647907447</v>
      </c>
      <c r="H387" s="228"/>
      <c r="I387" s="217"/>
    </row>
    <row r="388" spans="1:9" x14ac:dyDescent="0.2">
      <c r="A388" s="7" t="s">
        <v>1489</v>
      </c>
      <c r="C388" s="213">
        <v>0</v>
      </c>
      <c r="D388" s="213">
        <v>0</v>
      </c>
      <c r="E388" s="213">
        <v>0</v>
      </c>
      <c r="F388" s="213">
        <v>0</v>
      </c>
      <c r="G388" s="213">
        <v>0</v>
      </c>
      <c r="H388" s="229"/>
      <c r="I388" s="217">
        <f>-E428</f>
        <v>2701.2876758057428</v>
      </c>
    </row>
    <row r="389" spans="1:9" x14ac:dyDescent="0.2">
      <c r="A389" s="7" t="s">
        <v>1362</v>
      </c>
      <c r="C389" s="185">
        <v>3896.1038961038867</v>
      </c>
      <c r="D389" s="185">
        <v>2077.9220779220777</v>
      </c>
      <c r="E389" s="185">
        <v>14655.690036134169</v>
      </c>
      <c r="F389" s="185"/>
      <c r="G389" s="185">
        <v>10237.318790764592</v>
      </c>
      <c r="H389" s="228"/>
      <c r="I389" s="217"/>
    </row>
    <row r="390" spans="1:9" ht="17" thickBot="1" x14ac:dyDescent="0.25">
      <c r="A390" s="10" t="s">
        <v>1364</v>
      </c>
      <c r="B390" s="11"/>
      <c r="C390" s="12"/>
      <c r="D390" s="12"/>
      <c r="E390" s="12"/>
      <c r="F390" s="188">
        <v>11772.573153017278</v>
      </c>
      <c r="G390" s="188"/>
      <c r="H390" s="241"/>
      <c r="I390" s="237">
        <f>D440</f>
        <v>21795.749323713189</v>
      </c>
    </row>
    <row r="392" spans="1:9" x14ac:dyDescent="0.2">
      <c r="A392" s="1" t="s">
        <v>1613</v>
      </c>
    </row>
    <row r="393" spans="1:9" x14ac:dyDescent="0.2">
      <c r="A393" s="1" t="s">
        <v>1614</v>
      </c>
    </row>
    <row r="395" spans="1:9" x14ac:dyDescent="0.2">
      <c r="A395" s="1" t="s">
        <v>1615</v>
      </c>
      <c r="D395" s="23">
        <f>G382</f>
        <v>37907.867694084503</v>
      </c>
    </row>
    <row r="396" spans="1:9" x14ac:dyDescent="0.2">
      <c r="A396" s="1" t="s">
        <v>1616</v>
      </c>
      <c r="D396" s="1">
        <v>5</v>
      </c>
      <c r="F396" s="1" t="s">
        <v>1601</v>
      </c>
    </row>
    <row r="397" spans="1:9" x14ac:dyDescent="0.2">
      <c r="A397" s="1" t="s">
        <v>1537</v>
      </c>
      <c r="D397" s="1">
        <v>15</v>
      </c>
      <c r="F397" s="1" t="s">
        <v>1617</v>
      </c>
    </row>
    <row r="398" spans="1:9" x14ac:dyDescent="0.2">
      <c r="A398" s="1" t="s">
        <v>1618</v>
      </c>
      <c r="D398" s="23">
        <f>37908*5/D397</f>
        <v>12636</v>
      </c>
      <c r="F398" s="1" t="s">
        <v>1619</v>
      </c>
      <c r="G398" s="1" t="s">
        <v>1620</v>
      </c>
    </row>
    <row r="400" spans="1:9" x14ac:dyDescent="0.2">
      <c r="A400" s="1" t="s">
        <v>1621</v>
      </c>
    </row>
    <row r="401" spans="1:6" x14ac:dyDescent="0.2">
      <c r="A401" s="1" t="s">
        <v>1622</v>
      </c>
      <c r="D401" s="23">
        <f>-G381*5/15</f>
        <v>21338.070075997803</v>
      </c>
      <c r="F401" s="1" t="s">
        <v>1623</v>
      </c>
    </row>
    <row r="402" spans="1:6" x14ac:dyDescent="0.2">
      <c r="A402" s="1" t="s">
        <v>1624</v>
      </c>
      <c r="D402" s="23">
        <f>64014-D401</f>
        <v>42675.929924002194</v>
      </c>
      <c r="F402" s="1" t="s">
        <v>1625</v>
      </c>
    </row>
    <row r="404" spans="1:6" x14ac:dyDescent="0.2">
      <c r="A404" s="1" t="s">
        <v>1626</v>
      </c>
    </row>
    <row r="405" spans="1:6" x14ac:dyDescent="0.2">
      <c r="A405" s="1" t="s">
        <v>1627</v>
      </c>
      <c r="D405" s="73">
        <f>-G380</f>
        <v>298077.92207792209</v>
      </c>
    </row>
    <row r="406" spans="1:6" x14ac:dyDescent="0.2">
      <c r="A406" s="1" t="s">
        <v>1628</v>
      </c>
      <c r="D406" s="23">
        <f>D398</f>
        <v>12636</v>
      </c>
    </row>
    <row r="407" spans="1:6" x14ac:dyDescent="0.2">
      <c r="A407" s="1" t="s">
        <v>1622</v>
      </c>
      <c r="D407" s="23">
        <f>D401</f>
        <v>21338.070075997803</v>
      </c>
    </row>
    <row r="408" spans="1:6" x14ac:dyDescent="0.2">
      <c r="A408" s="1" t="s">
        <v>1629</v>
      </c>
      <c r="D408" s="74">
        <f>SUM(D405:D407)</f>
        <v>332051.99215391988</v>
      </c>
    </row>
    <row r="410" spans="1:6" x14ac:dyDescent="0.2">
      <c r="A410" s="1" t="s">
        <v>1630</v>
      </c>
    </row>
    <row r="411" spans="1:6" x14ac:dyDescent="0.2">
      <c r="A411" s="1" t="s">
        <v>1631</v>
      </c>
      <c r="D411" s="23">
        <v>220000</v>
      </c>
      <c r="E411" s="1" t="s">
        <v>1632</v>
      </c>
    </row>
    <row r="412" spans="1:6" x14ac:dyDescent="0.2">
      <c r="A412" s="1" t="s">
        <v>922</v>
      </c>
      <c r="D412" s="1" t="s">
        <v>1633</v>
      </c>
    </row>
    <row r="413" spans="1:6" x14ac:dyDescent="0.2">
      <c r="A413" s="1" t="s">
        <v>1634</v>
      </c>
      <c r="D413" s="246">
        <f>D411</f>
        <v>220000</v>
      </c>
    </row>
    <row r="415" spans="1:6" x14ac:dyDescent="0.2">
      <c r="A415" s="1" t="s">
        <v>1635</v>
      </c>
      <c r="D415" s="23">
        <f>H382</f>
        <v>25272.077922077922</v>
      </c>
    </row>
    <row r="417" spans="1:7" x14ac:dyDescent="0.2">
      <c r="A417" s="1" t="s">
        <v>1563</v>
      </c>
      <c r="D417" s="23">
        <f>D413-D415</f>
        <v>194727.92207792209</v>
      </c>
      <c r="F417" s="1" t="s">
        <v>1636</v>
      </c>
    </row>
    <row r="419" spans="1:7" x14ac:dyDescent="0.2">
      <c r="A419" s="1" t="s">
        <v>1637</v>
      </c>
      <c r="D419" s="23">
        <f>D402</f>
        <v>42675.929924002194</v>
      </c>
    </row>
    <row r="421" spans="1:7" x14ac:dyDescent="0.2">
      <c r="A421" s="1" t="s">
        <v>1638</v>
      </c>
      <c r="F421" s="23">
        <f>D419</f>
        <v>42675.929924002194</v>
      </c>
    </row>
    <row r="423" spans="1:7" x14ac:dyDescent="0.2">
      <c r="B423" s="40"/>
      <c r="C423" s="40" t="s">
        <v>1607</v>
      </c>
      <c r="D423" s="40"/>
      <c r="E423" s="40" t="s">
        <v>1639</v>
      </c>
    </row>
    <row r="424" spans="1:7" x14ac:dyDescent="0.2">
      <c r="A424" s="1" t="s">
        <v>99</v>
      </c>
      <c r="C424" s="21">
        <f>G382</f>
        <v>37907.867694084503</v>
      </c>
      <c r="D424" s="19"/>
      <c r="E424" s="222">
        <f>I382</f>
        <v>67948.007846080116</v>
      </c>
    </row>
    <row r="425" spans="1:7" x14ac:dyDescent="0.2">
      <c r="A425" s="1" t="s">
        <v>1054</v>
      </c>
      <c r="C425" s="21">
        <f>400000/7*2</f>
        <v>114285.71428571429</v>
      </c>
      <c r="D425" s="19"/>
      <c r="E425" s="222">
        <f>400000/7*1</f>
        <v>57142.857142857145</v>
      </c>
      <c r="G425" s="1" t="s">
        <v>1640</v>
      </c>
    </row>
    <row r="426" spans="1:7" x14ac:dyDescent="0.2">
      <c r="A426" s="1" t="s">
        <v>1467</v>
      </c>
      <c r="C426" s="22">
        <f>C425-C424</f>
        <v>76377.846591629786</v>
      </c>
      <c r="D426" s="1" t="s">
        <v>1641</v>
      </c>
      <c r="E426" s="223">
        <f>E425-E424</f>
        <v>-10805.150703222971</v>
      </c>
    </row>
    <row r="427" spans="1:7" x14ac:dyDescent="0.2">
      <c r="A427" s="1" t="s">
        <v>1056</v>
      </c>
      <c r="C427" s="183">
        <v>0.25</v>
      </c>
      <c r="D427" s="19"/>
      <c r="E427" s="224">
        <v>0.25</v>
      </c>
    </row>
    <row r="428" spans="1:7" x14ac:dyDescent="0.2">
      <c r="A428" s="1" t="s">
        <v>1468</v>
      </c>
      <c r="C428" s="22">
        <f>C426*C427</f>
        <v>19094.461647907447</v>
      </c>
      <c r="D428" s="1" t="s">
        <v>1489</v>
      </c>
      <c r="E428" s="223">
        <f>E426*E427</f>
        <v>-2701.2876758057428</v>
      </c>
    </row>
    <row r="430" spans="1:7" x14ac:dyDescent="0.2">
      <c r="A430" s="1" t="s">
        <v>1642</v>
      </c>
      <c r="C430" s="21"/>
    </row>
    <row r="431" spans="1:7" x14ac:dyDescent="0.2">
      <c r="A431" s="1" t="s">
        <v>1643</v>
      </c>
      <c r="C431" s="21"/>
    </row>
    <row r="432" spans="1:7" x14ac:dyDescent="0.2">
      <c r="A432" s="1" t="s">
        <v>1644</v>
      </c>
    </row>
    <row r="433" spans="1:4" x14ac:dyDescent="0.2">
      <c r="A433" s="1" t="s">
        <v>1645</v>
      </c>
    </row>
    <row r="434" spans="1:4" x14ac:dyDescent="0.2">
      <c r="A434" s="1" t="s">
        <v>1646</v>
      </c>
    </row>
    <row r="435" spans="1:4" x14ac:dyDescent="0.2">
      <c r="A435" s="1" t="s">
        <v>1647</v>
      </c>
    </row>
    <row r="437" spans="1:4" x14ac:dyDescent="0.2">
      <c r="A437" s="1" t="s">
        <v>1648</v>
      </c>
    </row>
    <row r="438" spans="1:4" x14ac:dyDescent="0.2">
      <c r="A438" s="1" t="s">
        <v>1649</v>
      </c>
    </row>
    <row r="440" spans="1:4" x14ac:dyDescent="0.2">
      <c r="B440" s="1" t="s">
        <v>1650</v>
      </c>
      <c r="D440" s="73">
        <f>D441+D442</f>
        <v>21795.749323713189</v>
      </c>
    </row>
    <row r="441" spans="1:4" x14ac:dyDescent="0.2">
      <c r="B441" s="1" t="s">
        <v>1370</v>
      </c>
      <c r="D441" s="73">
        <f>C428</f>
        <v>19094.461647907447</v>
      </c>
    </row>
    <row r="442" spans="1:4" x14ac:dyDescent="0.2">
      <c r="B442" s="1" t="s">
        <v>1651</v>
      </c>
      <c r="D442" s="73">
        <f>-E428</f>
        <v>2701.2876758057428</v>
      </c>
    </row>
  </sheetData>
  <mergeCells count="8">
    <mergeCell ref="D258:E258"/>
    <mergeCell ref="D259:E259"/>
    <mergeCell ref="G58:H58"/>
    <mergeCell ref="F59:G59"/>
    <mergeCell ref="E60:F60"/>
    <mergeCell ref="G255:H255"/>
    <mergeCell ref="F256:G256"/>
    <mergeCell ref="E257:F257"/>
  </mergeCells>
  <pageMargins left="0.7" right="0.7" top="0.75" bottom="0.75" header="0.3" footer="0.3"/>
  <ignoredErrors>
    <ignoredError sqref="N21 P19 P21" formula="1"/>
  </ignoredErrors>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CD9151-5671-5D4D-8590-FC4F6787929A}">
  <dimension ref="A1:X116"/>
  <sheetViews>
    <sheetView rightToLeft="1" zoomScale="241" workbookViewId="0">
      <selection activeCell="A2" sqref="A2"/>
    </sheetView>
  </sheetViews>
  <sheetFormatPr baseColWidth="10" defaultRowHeight="16" x14ac:dyDescent="0.2"/>
  <cols>
    <col min="1" max="5" width="10.83203125" style="1"/>
    <col min="6" max="6" width="11.6640625" style="1" bestFit="1" customWidth="1"/>
    <col min="7" max="16384" width="10.83203125" style="1"/>
  </cols>
  <sheetData>
    <row r="1" spans="1:13" x14ac:dyDescent="0.2">
      <c r="A1" s="3" t="s">
        <v>1770</v>
      </c>
      <c r="B1" s="41"/>
      <c r="C1" s="41"/>
      <c r="D1" s="41"/>
      <c r="E1" s="41"/>
      <c r="F1" s="41"/>
      <c r="G1" s="41"/>
      <c r="H1" s="41"/>
    </row>
    <row r="2" spans="1:13" ht="17" thickBot="1" x14ac:dyDescent="0.25"/>
    <row r="3" spans="1:13" x14ac:dyDescent="0.2">
      <c r="A3" s="4" t="s">
        <v>1661</v>
      </c>
      <c r="B3" s="5"/>
      <c r="C3" s="5"/>
      <c r="D3" s="5"/>
      <c r="E3" s="5"/>
      <c r="F3" s="5"/>
      <c r="G3" s="5"/>
      <c r="H3" s="6"/>
    </row>
    <row r="4" spans="1:13" x14ac:dyDescent="0.2">
      <c r="A4" s="7" t="s">
        <v>1662</v>
      </c>
      <c r="H4" s="9"/>
    </row>
    <row r="5" spans="1:13" x14ac:dyDescent="0.2">
      <c r="A5" s="7" t="s">
        <v>1663</v>
      </c>
      <c r="H5" s="9"/>
    </row>
    <row r="6" spans="1:13" x14ac:dyDescent="0.2">
      <c r="A6" s="7" t="s">
        <v>1664</v>
      </c>
      <c r="H6" s="9"/>
    </row>
    <row r="7" spans="1:13" ht="17" thickBot="1" x14ac:dyDescent="0.25">
      <c r="A7" s="10" t="s">
        <v>1665</v>
      </c>
      <c r="B7" s="11"/>
      <c r="C7" s="11"/>
      <c r="D7" s="11"/>
      <c r="E7" s="11"/>
      <c r="F7" s="11"/>
      <c r="G7" s="11"/>
      <c r="H7" s="12"/>
    </row>
    <row r="9" spans="1:13" x14ac:dyDescent="0.2">
      <c r="A9" s="247" t="s">
        <v>1666</v>
      </c>
      <c r="B9" s="247"/>
      <c r="C9" s="247"/>
      <c r="D9" s="247"/>
      <c r="E9" s="247"/>
      <c r="F9" s="247"/>
      <c r="G9" s="247"/>
      <c r="H9" s="247"/>
    </row>
    <row r="10" spans="1:13" x14ac:dyDescent="0.2">
      <c r="A10" s="1" t="s">
        <v>1667</v>
      </c>
    </row>
    <row r="11" spans="1:13" x14ac:dyDescent="0.2">
      <c r="A11" s="1" t="s">
        <v>1668</v>
      </c>
    </row>
    <row r="12" spans="1:13" x14ac:dyDescent="0.2">
      <c r="A12" s="1" t="s">
        <v>1669</v>
      </c>
    </row>
    <row r="14" spans="1:13" x14ac:dyDescent="0.2">
      <c r="A14" s="94" t="s">
        <v>1670</v>
      </c>
      <c r="B14" s="94"/>
      <c r="C14" s="94"/>
      <c r="D14" s="94"/>
      <c r="E14" s="94"/>
      <c r="M14" s="21"/>
    </row>
    <row r="15" spans="1:13" x14ac:dyDescent="0.2">
      <c r="A15" s="1" t="s">
        <v>1671</v>
      </c>
      <c r="M15" s="21"/>
    </row>
    <row r="16" spans="1:13" x14ac:dyDescent="0.2">
      <c r="A16" s="1" t="s">
        <v>1672</v>
      </c>
    </row>
    <row r="17" spans="1:21" x14ac:dyDescent="0.2">
      <c r="A17" s="1" t="s">
        <v>1673</v>
      </c>
    </row>
    <row r="18" spans="1:21" x14ac:dyDescent="0.2">
      <c r="A18" s="1" t="s">
        <v>1674</v>
      </c>
    </row>
    <row r="19" spans="1:21" x14ac:dyDescent="0.2">
      <c r="A19" s="1" t="s">
        <v>1675</v>
      </c>
    </row>
    <row r="20" spans="1:21" x14ac:dyDescent="0.2">
      <c r="A20" s="1" t="s">
        <v>1676</v>
      </c>
    </row>
    <row r="21" spans="1:21" x14ac:dyDescent="0.2">
      <c r="A21" s="1" t="s">
        <v>1677</v>
      </c>
    </row>
    <row r="22" spans="1:21" x14ac:dyDescent="0.2">
      <c r="A22" s="1" t="s">
        <v>1678</v>
      </c>
    </row>
    <row r="23" spans="1:21" x14ac:dyDescent="0.2">
      <c r="A23" s="1" t="s">
        <v>1679</v>
      </c>
      <c r="M23" s="73"/>
    </row>
    <row r="24" spans="1:21" x14ac:dyDescent="0.2">
      <c r="A24" s="1" t="s">
        <v>1680</v>
      </c>
      <c r="K24" s="41"/>
      <c r="L24" s="19" t="s">
        <v>927</v>
      </c>
      <c r="M24" s="69" t="s">
        <v>1681</v>
      </c>
      <c r="N24" s="19" t="s">
        <v>927</v>
      </c>
      <c r="O24" s="69" t="s">
        <v>1681</v>
      </c>
      <c r="P24" s="19" t="s">
        <v>927</v>
      </c>
      <c r="Q24" s="69" t="s">
        <v>1681</v>
      </c>
      <c r="R24" s="19" t="s">
        <v>927</v>
      </c>
      <c r="S24" s="69" t="s">
        <v>1681</v>
      </c>
      <c r="T24" s="19" t="s">
        <v>299</v>
      </c>
      <c r="U24" s="69" t="s">
        <v>659</v>
      </c>
    </row>
    <row r="25" spans="1:21" x14ac:dyDescent="0.2">
      <c r="K25" s="206">
        <v>44196</v>
      </c>
      <c r="L25" s="36">
        <v>44561</v>
      </c>
      <c r="M25" s="206">
        <v>44561</v>
      </c>
      <c r="N25" s="36">
        <v>44926</v>
      </c>
      <c r="O25" s="206">
        <v>44926</v>
      </c>
      <c r="P25" s="36">
        <v>45291</v>
      </c>
      <c r="Q25" s="206">
        <v>45291</v>
      </c>
      <c r="R25" s="36">
        <v>45657</v>
      </c>
      <c r="S25" s="206">
        <v>45657</v>
      </c>
      <c r="T25" s="36">
        <v>45838</v>
      </c>
      <c r="U25" s="206">
        <v>46022</v>
      </c>
    </row>
    <row r="26" spans="1:21" x14ac:dyDescent="0.2">
      <c r="A26" s="94" t="s">
        <v>1682</v>
      </c>
      <c r="B26" s="94"/>
      <c r="C26" s="94"/>
      <c r="D26" s="94"/>
      <c r="E26" s="94"/>
      <c r="J26" s="1" t="s">
        <v>95</v>
      </c>
      <c r="K26" s="21">
        <v>500000</v>
      </c>
      <c r="L26" s="21">
        <f t="shared" ref="L26:T26" si="0">K26</f>
        <v>500000</v>
      </c>
      <c r="M26" s="21">
        <f t="shared" si="0"/>
        <v>500000</v>
      </c>
      <c r="N26" s="21">
        <f t="shared" si="0"/>
        <v>500000</v>
      </c>
      <c r="O26" s="21">
        <f t="shared" si="0"/>
        <v>500000</v>
      </c>
      <c r="P26" s="21">
        <f t="shared" si="0"/>
        <v>500000</v>
      </c>
      <c r="Q26" s="21">
        <f t="shared" si="0"/>
        <v>500000</v>
      </c>
      <c r="R26" s="21">
        <f t="shared" si="0"/>
        <v>500000</v>
      </c>
      <c r="S26" s="21">
        <f t="shared" si="0"/>
        <v>500000</v>
      </c>
      <c r="T26" s="21">
        <f t="shared" si="0"/>
        <v>500000</v>
      </c>
      <c r="U26" s="21">
        <v>0</v>
      </c>
    </row>
    <row r="27" spans="1:21" x14ac:dyDescent="0.2">
      <c r="A27" s="1" t="s">
        <v>1683</v>
      </c>
      <c r="J27" s="1" t="s">
        <v>96</v>
      </c>
      <c r="K27" s="21">
        <f>K31</f>
        <v>56250</v>
      </c>
      <c r="L27" s="21">
        <f>K27+L31</f>
        <v>108750</v>
      </c>
      <c r="M27" s="21">
        <f>L27</f>
        <v>108750</v>
      </c>
      <c r="N27" s="21">
        <f>M27+M80</f>
        <v>157489.98004203924</v>
      </c>
      <c r="O27" s="21">
        <f>N27</f>
        <v>157489.98004203924</v>
      </c>
      <c r="P27" s="21">
        <f>O27+M96</f>
        <v>210673.6164056756</v>
      </c>
      <c r="Q27" s="21">
        <f>P27</f>
        <v>210673.6164056756</v>
      </c>
      <c r="R27" s="21">
        <f>Q27+M107</f>
        <v>258538.89312454048</v>
      </c>
      <c r="S27" s="21">
        <f>R27</f>
        <v>258538.89312454048</v>
      </c>
      <c r="T27" s="21">
        <f>S27+M116</f>
        <v>279812.33756898495</v>
      </c>
      <c r="U27" s="21">
        <v>0</v>
      </c>
    </row>
    <row r="28" spans="1:21" x14ac:dyDescent="0.2">
      <c r="A28" s="1" t="s">
        <v>1684</v>
      </c>
      <c r="J28" s="1" t="s">
        <v>718</v>
      </c>
      <c r="K28" s="21"/>
      <c r="L28" s="21"/>
      <c r="M28" s="21">
        <f>M32</f>
        <v>61651.860294274637</v>
      </c>
      <c r="N28" s="21">
        <f>M28-M79</f>
        <v>52844.451680806829</v>
      </c>
      <c r="O28" s="21">
        <f>N28+O32</f>
        <v>90510.019957960772</v>
      </c>
      <c r="P28" s="21">
        <f>O28-M95</f>
        <v>74053.65632159714</v>
      </c>
      <c r="Q28" s="21">
        <f>P28-Q33</f>
        <v>13326.383594324405</v>
      </c>
      <c r="R28" s="21">
        <f>Q28-M106</f>
        <v>10661.106875459524</v>
      </c>
      <c r="S28" s="21">
        <v>0</v>
      </c>
      <c r="T28" s="21">
        <v>0</v>
      </c>
      <c r="U28" s="21">
        <v>0</v>
      </c>
    </row>
    <row r="29" spans="1:21" x14ac:dyDescent="0.2">
      <c r="A29" s="1" t="s">
        <v>1685</v>
      </c>
      <c r="J29" s="1" t="s">
        <v>99</v>
      </c>
      <c r="K29" s="22">
        <f>K26-K27</f>
        <v>443750</v>
      </c>
      <c r="L29" s="22">
        <f>L26-L27</f>
        <v>391250</v>
      </c>
      <c r="M29" s="22">
        <f>H42</f>
        <v>329598.13970572536</v>
      </c>
      <c r="N29" s="22">
        <f>N26-N27-N28</f>
        <v>289665.56827715394</v>
      </c>
      <c r="O29" s="22">
        <f>H43</f>
        <v>252000</v>
      </c>
      <c r="P29" s="22">
        <f>P26-P27-P28</f>
        <v>215272.72727272726</v>
      </c>
      <c r="Q29" s="22">
        <f>H44</f>
        <v>276000</v>
      </c>
      <c r="R29" s="22">
        <f>R26-R27-R28</f>
        <v>230800</v>
      </c>
      <c r="S29" s="22">
        <f>S26-S27-S28</f>
        <v>241461.10687545952</v>
      </c>
      <c r="T29" s="22">
        <f>T26-T27</f>
        <v>220187.66243101505</v>
      </c>
      <c r="U29" s="22">
        <v>0</v>
      </c>
    </row>
    <row r="30" spans="1:21" x14ac:dyDescent="0.2">
      <c r="A30" s="1" t="s">
        <v>1686</v>
      </c>
      <c r="K30" s="21"/>
      <c r="L30" s="21"/>
      <c r="M30" s="73"/>
      <c r="N30" s="21"/>
      <c r="O30" s="73"/>
      <c r="P30" s="21"/>
      <c r="Q30" s="73"/>
      <c r="R30" s="21"/>
      <c r="S30" s="73"/>
      <c r="T30" s="73"/>
      <c r="U30" s="73"/>
    </row>
    <row r="31" spans="1:21" x14ac:dyDescent="0.2">
      <c r="A31" s="1" t="s">
        <v>1687</v>
      </c>
      <c r="J31" s="1" t="s">
        <v>100</v>
      </c>
      <c r="K31" s="21">
        <f>M58</f>
        <v>56250</v>
      </c>
      <c r="L31" s="21">
        <f>M59</f>
        <v>52500</v>
      </c>
      <c r="M31" s="21">
        <f>L31</f>
        <v>52500</v>
      </c>
      <c r="N31" s="21">
        <f>M71</f>
        <v>39932.571428571428</v>
      </c>
      <c r="O31" s="21">
        <f>N31</f>
        <v>39932.571428571428</v>
      </c>
      <c r="P31" s="21">
        <f>M91</f>
        <v>36727.272727272728</v>
      </c>
      <c r="Q31" s="21">
        <f>P31</f>
        <v>36727.272727272728</v>
      </c>
      <c r="R31" s="21">
        <f>M102</f>
        <v>45200</v>
      </c>
      <c r="S31" s="21">
        <f>R31</f>
        <v>45200</v>
      </c>
      <c r="T31" s="21">
        <f>M116</f>
        <v>21273.444444444445</v>
      </c>
      <c r="U31" s="21">
        <f>T31</f>
        <v>21273.444444444445</v>
      </c>
    </row>
    <row r="32" spans="1:21" x14ac:dyDescent="0.2">
      <c r="J32" s="1" t="s">
        <v>891</v>
      </c>
      <c r="K32" s="21"/>
      <c r="L32" s="21"/>
      <c r="M32" s="21">
        <f>L29-M29</f>
        <v>61651.860294274637</v>
      </c>
      <c r="N32" s="21"/>
      <c r="O32" s="21">
        <f>N29-O29</f>
        <v>37665.568277153943</v>
      </c>
      <c r="P32" s="21"/>
      <c r="Q32" s="21"/>
      <c r="R32" s="21"/>
      <c r="S32" s="21"/>
      <c r="T32" s="21"/>
      <c r="U32" s="21"/>
    </row>
    <row r="33" spans="1:21" x14ac:dyDescent="0.2">
      <c r="A33" s="94" t="s">
        <v>1688</v>
      </c>
      <c r="B33" s="94"/>
      <c r="C33" s="94"/>
      <c r="D33" s="94"/>
      <c r="E33" s="94"/>
      <c r="J33" s="1" t="s">
        <v>892</v>
      </c>
      <c r="K33" s="21"/>
      <c r="L33" s="73"/>
      <c r="M33" s="73"/>
      <c r="N33" s="73"/>
      <c r="O33" s="73"/>
      <c r="P33" s="73"/>
      <c r="Q33" s="21">
        <f>Q29-P29</f>
        <v>60727.272727272735</v>
      </c>
      <c r="R33" s="73"/>
      <c r="S33" s="21">
        <f>R28-S28</f>
        <v>10661.106875459524</v>
      </c>
      <c r="T33" s="21"/>
      <c r="U33" s="21"/>
    </row>
    <row r="34" spans="1:21" x14ac:dyDescent="0.2">
      <c r="A34" s="1" t="s">
        <v>1689</v>
      </c>
      <c r="K34" s="21"/>
      <c r="L34" s="73"/>
      <c r="M34" s="73"/>
      <c r="N34" s="73"/>
      <c r="O34" s="73"/>
      <c r="P34" s="73"/>
      <c r="Q34" s="73"/>
      <c r="R34" s="73"/>
      <c r="S34" s="73"/>
      <c r="T34" s="73"/>
      <c r="U34" s="73"/>
    </row>
    <row r="35" spans="1:21" x14ac:dyDescent="0.2">
      <c r="A35" s="1" t="s">
        <v>1690</v>
      </c>
      <c r="J35" s="1" t="s">
        <v>1691</v>
      </c>
      <c r="K35" s="21"/>
      <c r="L35" s="73"/>
      <c r="M35" s="73"/>
      <c r="N35" s="73"/>
      <c r="O35" s="73"/>
      <c r="P35" s="73"/>
      <c r="Q35" s="73"/>
      <c r="R35" s="73"/>
      <c r="S35" s="73"/>
      <c r="T35" s="73"/>
      <c r="U35" s="21">
        <v>3000</v>
      </c>
    </row>
    <row r="36" spans="1:21" x14ac:dyDescent="0.2">
      <c r="A36" s="1" t="s">
        <v>1692</v>
      </c>
      <c r="K36" s="19"/>
    </row>
    <row r="37" spans="1:21" ht="17" thickBot="1" x14ac:dyDescent="0.25">
      <c r="A37" s="1" t="s">
        <v>1693</v>
      </c>
      <c r="J37" s="1" t="s">
        <v>1340</v>
      </c>
      <c r="K37" s="21">
        <f>S61</f>
        <v>6037.5</v>
      </c>
      <c r="L37" s="19"/>
      <c r="M37" s="21">
        <f>T61</f>
        <v>25392.427867683167</v>
      </c>
      <c r="N37" s="19"/>
      <c r="O37" s="21">
        <f>U61</f>
        <v>36340</v>
      </c>
      <c r="P37" s="19"/>
      <c r="Q37" s="21">
        <f>V61</f>
        <v>23920</v>
      </c>
      <c r="R37" s="19"/>
      <c r="S37" s="21">
        <f>W61</f>
        <v>24963.945418644311</v>
      </c>
      <c r="T37" s="19"/>
      <c r="U37" s="21">
        <f>X61</f>
        <v>0</v>
      </c>
    </row>
    <row r="38" spans="1:21" x14ac:dyDescent="0.2">
      <c r="B38" s="319" t="s">
        <v>161</v>
      </c>
      <c r="C38" s="319"/>
      <c r="D38" s="319"/>
      <c r="E38" s="319"/>
      <c r="F38" s="324" t="s">
        <v>1694</v>
      </c>
      <c r="G38" s="325"/>
      <c r="H38" s="326"/>
      <c r="J38" s="1" t="s">
        <v>1695</v>
      </c>
      <c r="K38" s="21">
        <f>K37</f>
        <v>6037.5</v>
      </c>
      <c r="L38" s="19"/>
      <c r="M38" s="21">
        <f>M37-K37</f>
        <v>19354.927867683167</v>
      </c>
      <c r="N38" s="19"/>
      <c r="O38" s="21">
        <f>O37-M37</f>
        <v>10947.572132316833</v>
      </c>
      <c r="S38" s="21">
        <f>S37-Q37</f>
        <v>1043.9454186443108</v>
      </c>
    </row>
    <row r="39" spans="1:21" x14ac:dyDescent="0.2">
      <c r="A39" s="2"/>
      <c r="B39" s="2" t="s">
        <v>1696</v>
      </c>
      <c r="C39" s="2" t="s">
        <v>706</v>
      </c>
      <c r="D39" s="2" t="s">
        <v>1697</v>
      </c>
      <c r="E39" s="2" t="s">
        <v>1698</v>
      </c>
      <c r="F39" s="248" t="s">
        <v>888</v>
      </c>
      <c r="G39" s="19" t="s">
        <v>706</v>
      </c>
      <c r="H39" s="213" t="s">
        <v>1699</v>
      </c>
      <c r="J39" s="1" t="s">
        <v>1700</v>
      </c>
      <c r="Q39" s="21">
        <f>O37-Q37</f>
        <v>12420</v>
      </c>
      <c r="U39" s="21">
        <f>S37-U37</f>
        <v>24963.945418644311</v>
      </c>
    </row>
    <row r="40" spans="1:21" x14ac:dyDescent="0.2">
      <c r="A40" s="205" t="s">
        <v>1228</v>
      </c>
      <c r="B40" s="205" t="s">
        <v>1701</v>
      </c>
      <c r="C40" s="205" t="s">
        <v>1702</v>
      </c>
      <c r="D40" s="205" t="s">
        <v>1703</v>
      </c>
      <c r="E40" s="205" t="s">
        <v>1704</v>
      </c>
      <c r="F40" s="248" t="s">
        <v>1705</v>
      </c>
      <c r="G40" s="19" t="s">
        <v>1706</v>
      </c>
      <c r="H40" s="213" t="s">
        <v>930</v>
      </c>
    </row>
    <row r="41" spans="1:21" x14ac:dyDescent="0.2">
      <c r="A41" s="35">
        <v>44196</v>
      </c>
      <c r="B41" s="23">
        <v>40000</v>
      </c>
      <c r="C41" s="23">
        <v>420000</v>
      </c>
      <c r="D41" s="24">
        <v>0.05</v>
      </c>
      <c r="E41" s="24">
        <v>0.04</v>
      </c>
      <c r="F41" s="327" t="s">
        <v>1707</v>
      </c>
      <c r="G41" s="328"/>
      <c r="H41" s="329"/>
    </row>
    <row r="42" spans="1:21" x14ac:dyDescent="0.2">
      <c r="A42" s="35">
        <v>44561</v>
      </c>
      <c r="B42" s="23">
        <v>30000</v>
      </c>
      <c r="C42" s="23">
        <v>320000</v>
      </c>
      <c r="D42" s="24">
        <v>7.0000000000000007E-2</v>
      </c>
      <c r="E42" s="24">
        <f>E41</f>
        <v>0.04</v>
      </c>
      <c r="F42" s="249">
        <f>ABS(PV(E42,13,B42,50000))</f>
        <v>329598.13970572536</v>
      </c>
      <c r="G42" s="38">
        <f>C42*(1-D42)</f>
        <v>297600</v>
      </c>
      <c r="H42" s="250">
        <f>MAX(F42:G42)</f>
        <v>329598.13970572536</v>
      </c>
    </row>
    <row r="43" spans="1:21" x14ac:dyDescent="0.2">
      <c r="A43" s="35">
        <v>44926</v>
      </c>
      <c r="B43" s="23">
        <v>20000</v>
      </c>
      <c r="C43" s="23">
        <v>280000</v>
      </c>
      <c r="D43" s="24">
        <v>0.1</v>
      </c>
      <c r="E43" s="24">
        <f t="shared" ref="E43:E45" si="1">E42</f>
        <v>0.04</v>
      </c>
      <c r="F43" s="249">
        <f>ABS(PV(E43,10,B43,50000))</f>
        <v>195996.12402839065</v>
      </c>
      <c r="G43" s="38">
        <f t="shared" ref="G43:G45" si="2">C43*(1-D43)</f>
        <v>252000</v>
      </c>
      <c r="H43" s="250">
        <f t="shared" ref="H43:H45" si="3">MAX(F43:G43)</f>
        <v>252000</v>
      </c>
    </row>
    <row r="44" spans="1:21" x14ac:dyDescent="0.2">
      <c r="A44" s="35">
        <v>45291</v>
      </c>
      <c r="B44" s="23">
        <v>15000</v>
      </c>
      <c r="C44" s="23">
        <v>300000</v>
      </c>
      <c r="D44" s="24">
        <v>0.08</v>
      </c>
      <c r="E44" s="24">
        <f t="shared" si="1"/>
        <v>0.04</v>
      </c>
      <c r="F44" s="249">
        <f>ABS(PV(E44,9,B44,50000))</f>
        <v>146659.31093688009</v>
      </c>
      <c r="G44" s="38">
        <f t="shared" si="2"/>
        <v>276000</v>
      </c>
      <c r="H44" s="250">
        <f t="shared" si="3"/>
        <v>276000</v>
      </c>
    </row>
    <row r="45" spans="1:21" ht="17" thickBot="1" x14ac:dyDescent="0.25">
      <c r="A45" s="35">
        <v>45657</v>
      </c>
      <c r="B45" s="23">
        <v>90000</v>
      </c>
      <c r="C45" s="23">
        <v>390000</v>
      </c>
      <c r="D45" s="24">
        <v>0.02</v>
      </c>
      <c r="E45" s="24">
        <f t="shared" si="1"/>
        <v>0.04</v>
      </c>
      <c r="F45" s="251">
        <f>ABS(PV(E45,8,B45,50000))</f>
        <v>642481.54899563571</v>
      </c>
      <c r="G45" s="252">
        <f t="shared" si="2"/>
        <v>382200</v>
      </c>
      <c r="H45" s="253">
        <f t="shared" si="3"/>
        <v>642481.54899563571</v>
      </c>
    </row>
    <row r="47" spans="1:21" x14ac:dyDescent="0.2">
      <c r="A47" s="1" t="s">
        <v>1708</v>
      </c>
    </row>
    <row r="51" spans="10:24" x14ac:dyDescent="0.2">
      <c r="J51" s="1" t="s">
        <v>1709</v>
      </c>
      <c r="K51" s="19"/>
      <c r="R51" s="1" t="s">
        <v>1710</v>
      </c>
    </row>
    <row r="52" spans="10:24" x14ac:dyDescent="0.2">
      <c r="J52" s="1" t="s">
        <v>1711</v>
      </c>
      <c r="R52" s="1" t="s">
        <v>1712</v>
      </c>
    </row>
    <row r="53" spans="10:24" x14ac:dyDescent="0.2">
      <c r="J53" s="1" t="s">
        <v>1713</v>
      </c>
      <c r="M53" s="19">
        <f>15*(15+1)/2</f>
        <v>120</v>
      </c>
      <c r="O53" s="1" t="s">
        <v>1445</v>
      </c>
      <c r="R53" s="1" t="s">
        <v>1714</v>
      </c>
    </row>
    <row r="54" spans="10:24" x14ac:dyDescent="0.2">
      <c r="J54" s="1" t="s">
        <v>1715</v>
      </c>
      <c r="M54" s="19">
        <v>15</v>
      </c>
      <c r="R54" s="1" t="s">
        <v>1716</v>
      </c>
    </row>
    <row r="55" spans="10:24" x14ac:dyDescent="0.2">
      <c r="J55" s="1" t="s">
        <v>1717</v>
      </c>
      <c r="M55" s="19">
        <f>M54</f>
        <v>15</v>
      </c>
      <c r="O55" s="1" t="s">
        <v>1442</v>
      </c>
    </row>
    <row r="56" spans="10:24" x14ac:dyDescent="0.2">
      <c r="J56" s="1" t="s">
        <v>1718</v>
      </c>
      <c r="M56" s="19">
        <v>14</v>
      </c>
      <c r="O56" s="1" t="s">
        <v>1719</v>
      </c>
      <c r="S56" s="35">
        <v>44196</v>
      </c>
      <c r="T56" s="35">
        <v>44561</v>
      </c>
      <c r="U56" s="35">
        <v>44926</v>
      </c>
      <c r="V56" s="35">
        <v>45291</v>
      </c>
      <c r="W56" s="35">
        <v>45657</v>
      </c>
      <c r="X56" s="35">
        <v>46022</v>
      </c>
    </row>
    <row r="57" spans="10:24" x14ac:dyDescent="0.2">
      <c r="R57" s="1" t="s">
        <v>99</v>
      </c>
      <c r="S57" s="21">
        <f>K29</f>
        <v>443750</v>
      </c>
      <c r="T57" s="21">
        <f>M29</f>
        <v>329598.13970572536</v>
      </c>
      <c r="U57" s="21">
        <f>O29</f>
        <v>252000</v>
      </c>
      <c r="V57" s="21">
        <f>Q29</f>
        <v>276000</v>
      </c>
      <c r="W57" s="21">
        <f>S29</f>
        <v>241461.10687545952</v>
      </c>
      <c r="X57" s="21">
        <f>U29</f>
        <v>0</v>
      </c>
    </row>
    <row r="58" spans="10:24" x14ac:dyDescent="0.2">
      <c r="J58" s="1" t="s">
        <v>1720</v>
      </c>
      <c r="M58" s="21">
        <f>450000*15/120</f>
        <v>56250</v>
      </c>
      <c r="O58" s="1" t="s">
        <v>1721</v>
      </c>
      <c r="R58" s="1" t="s">
        <v>1054</v>
      </c>
      <c r="S58" s="21">
        <f>500000-(500000-50000)/15*1</f>
        <v>470000</v>
      </c>
      <c r="T58" s="21">
        <f>500000-(500000-50000)/15*2</f>
        <v>440000</v>
      </c>
      <c r="U58" s="21">
        <f>500000-(500000-50000)/15*3</f>
        <v>410000</v>
      </c>
      <c r="V58" s="21">
        <f>500000-(500000-50000)/15*4</f>
        <v>380000</v>
      </c>
      <c r="W58" s="21">
        <f>500000-(500000-50000)/15*5</f>
        <v>350000</v>
      </c>
      <c r="X58" s="21">
        <v>0</v>
      </c>
    </row>
    <row r="59" spans="10:24" x14ac:dyDescent="0.2">
      <c r="J59" s="1" t="s">
        <v>1722</v>
      </c>
      <c r="M59" s="21">
        <f>450000*14/120</f>
        <v>52500</v>
      </c>
      <c r="O59" s="1" t="s">
        <v>1723</v>
      </c>
      <c r="R59" s="1" t="s">
        <v>1724</v>
      </c>
      <c r="S59" s="22">
        <f t="shared" ref="S59:X59" si="4">S58-S57</f>
        <v>26250</v>
      </c>
      <c r="T59" s="22">
        <f t="shared" si="4"/>
        <v>110401.86029427464</v>
      </c>
      <c r="U59" s="22">
        <f t="shared" si="4"/>
        <v>158000</v>
      </c>
      <c r="V59" s="22">
        <f t="shared" si="4"/>
        <v>104000</v>
      </c>
      <c r="W59" s="22">
        <f t="shared" si="4"/>
        <v>108538.89312454048</v>
      </c>
      <c r="X59" s="22">
        <f t="shared" si="4"/>
        <v>0</v>
      </c>
    </row>
    <row r="60" spans="10:24" x14ac:dyDescent="0.2">
      <c r="R60" s="1" t="s">
        <v>1056</v>
      </c>
      <c r="S60" s="183">
        <v>0.23</v>
      </c>
      <c r="T60" s="183">
        <v>0.23</v>
      </c>
      <c r="U60" s="183">
        <v>0.23</v>
      </c>
      <c r="V60" s="183">
        <v>0.23</v>
      </c>
      <c r="W60" s="183">
        <v>0.23</v>
      </c>
      <c r="X60" s="183">
        <v>0.23</v>
      </c>
    </row>
    <row r="61" spans="10:24" x14ac:dyDescent="0.2">
      <c r="J61" s="1" t="s">
        <v>1725</v>
      </c>
      <c r="R61" s="1" t="s">
        <v>1340</v>
      </c>
      <c r="S61" s="22">
        <f t="shared" ref="S61:X61" si="5">S59*S60</f>
        <v>6037.5</v>
      </c>
      <c r="T61" s="22">
        <f t="shared" si="5"/>
        <v>25392.427867683167</v>
      </c>
      <c r="U61" s="22">
        <f t="shared" si="5"/>
        <v>36340</v>
      </c>
      <c r="V61" s="22">
        <f t="shared" si="5"/>
        <v>23920</v>
      </c>
      <c r="W61" s="22">
        <f t="shared" si="5"/>
        <v>24963.945418644311</v>
      </c>
      <c r="X61" s="22">
        <f t="shared" si="5"/>
        <v>0</v>
      </c>
    </row>
    <row r="62" spans="10:24" x14ac:dyDescent="0.2">
      <c r="J62" s="1" t="s">
        <v>1726</v>
      </c>
    </row>
    <row r="64" spans="10:24" x14ac:dyDescent="0.2">
      <c r="J64" s="1" t="s">
        <v>1727</v>
      </c>
    </row>
    <row r="65" spans="10:15" x14ac:dyDescent="0.2">
      <c r="J65" s="1" t="s">
        <v>1728</v>
      </c>
    </row>
    <row r="66" spans="10:15" x14ac:dyDescent="0.2">
      <c r="J66" s="1" t="s">
        <v>1729</v>
      </c>
    </row>
    <row r="68" spans="10:15" x14ac:dyDescent="0.2">
      <c r="J68" s="1" t="s">
        <v>1730</v>
      </c>
    </row>
    <row r="69" spans="10:15" x14ac:dyDescent="0.2">
      <c r="J69" s="1" t="s">
        <v>1731</v>
      </c>
      <c r="M69" s="19">
        <f>13*14/2</f>
        <v>91</v>
      </c>
      <c r="O69" s="1" t="s">
        <v>1732</v>
      </c>
    </row>
    <row r="70" spans="10:15" x14ac:dyDescent="0.2">
      <c r="J70" s="1" t="s">
        <v>1733</v>
      </c>
      <c r="M70" s="19">
        <v>13</v>
      </c>
    </row>
    <row r="71" spans="10:15" x14ac:dyDescent="0.2">
      <c r="J71" s="1" t="s">
        <v>567</v>
      </c>
      <c r="M71" s="21">
        <f>(329528-50000)*13/91</f>
        <v>39932.571428571428</v>
      </c>
      <c r="O71" s="1" t="s">
        <v>1734</v>
      </c>
    </row>
    <row r="73" spans="10:15" x14ac:dyDescent="0.2">
      <c r="J73" s="1" t="s">
        <v>1735</v>
      </c>
    </row>
    <row r="74" spans="10:15" x14ac:dyDescent="0.2">
      <c r="J74" s="1" t="s">
        <v>1736</v>
      </c>
    </row>
    <row r="75" spans="10:15" x14ac:dyDescent="0.2">
      <c r="J75" s="1" t="s">
        <v>1737</v>
      </c>
    </row>
    <row r="77" spans="10:15" x14ac:dyDescent="0.2">
      <c r="J77" s="1" t="s">
        <v>1738</v>
      </c>
    </row>
    <row r="78" spans="10:15" x14ac:dyDescent="0.2">
      <c r="J78" s="1" t="s">
        <v>808</v>
      </c>
      <c r="M78" s="21">
        <f>M71</f>
        <v>39932.571428571428</v>
      </c>
    </row>
    <row r="79" spans="10:15" x14ac:dyDescent="0.2">
      <c r="J79" s="1" t="s">
        <v>1739</v>
      </c>
      <c r="M79" s="21">
        <f>M28*13/91</f>
        <v>8807.4086134678055</v>
      </c>
      <c r="O79" s="1" t="s">
        <v>1740</v>
      </c>
    </row>
    <row r="80" spans="10:15" x14ac:dyDescent="0.2">
      <c r="J80" s="1" t="s">
        <v>1741</v>
      </c>
      <c r="M80" s="21">
        <f>M78+M79</f>
        <v>48739.980042039235</v>
      </c>
    </row>
    <row r="81" spans="10:15" x14ac:dyDescent="0.2">
      <c r="M81" s="19"/>
    </row>
    <row r="82" spans="10:15" x14ac:dyDescent="0.2">
      <c r="J82" s="1" t="s">
        <v>1742</v>
      </c>
      <c r="M82" s="19"/>
    </row>
    <row r="83" spans="10:15" x14ac:dyDescent="0.2">
      <c r="J83" s="1" t="s">
        <v>1743</v>
      </c>
      <c r="M83" s="19"/>
    </row>
    <row r="84" spans="10:15" x14ac:dyDescent="0.2">
      <c r="J84" s="1" t="s">
        <v>1744</v>
      </c>
      <c r="M84" s="19"/>
    </row>
    <row r="85" spans="10:15" x14ac:dyDescent="0.2">
      <c r="M85" s="19"/>
    </row>
    <row r="86" spans="10:15" x14ac:dyDescent="0.2">
      <c r="J86" s="1" t="s">
        <v>1745</v>
      </c>
      <c r="M86" s="19"/>
    </row>
    <row r="87" spans="10:15" x14ac:dyDescent="0.2">
      <c r="J87" s="1" t="s">
        <v>1746</v>
      </c>
      <c r="M87" s="19"/>
    </row>
    <row r="88" spans="10:15" x14ac:dyDescent="0.2">
      <c r="J88" s="1" t="s">
        <v>1747</v>
      </c>
      <c r="M88" s="19"/>
    </row>
    <row r="89" spans="10:15" x14ac:dyDescent="0.2">
      <c r="J89" s="1" t="s">
        <v>1731</v>
      </c>
      <c r="M89" s="19">
        <v>55</v>
      </c>
      <c r="O89" s="1" t="s">
        <v>1748</v>
      </c>
    </row>
    <row r="90" spans="10:15" x14ac:dyDescent="0.2">
      <c r="J90" s="1" t="s">
        <v>1749</v>
      </c>
      <c r="M90" s="19">
        <v>10</v>
      </c>
    </row>
    <row r="91" spans="10:15" x14ac:dyDescent="0.2">
      <c r="J91" s="1" t="s">
        <v>1750</v>
      </c>
      <c r="M91" s="21">
        <f>(252000-50000)*M90/M89</f>
        <v>36727.272727272728</v>
      </c>
      <c r="O91" s="1" t="s">
        <v>1751</v>
      </c>
    </row>
    <row r="93" spans="10:15" x14ac:dyDescent="0.2">
      <c r="J93" s="1" t="s">
        <v>1752</v>
      </c>
    </row>
    <row r="94" spans="10:15" x14ac:dyDescent="0.2">
      <c r="J94" s="1" t="s">
        <v>808</v>
      </c>
      <c r="M94" s="21">
        <f>M91</f>
        <v>36727.272727272728</v>
      </c>
    </row>
    <row r="95" spans="10:15" x14ac:dyDescent="0.2">
      <c r="J95" s="1" t="s">
        <v>1739</v>
      </c>
      <c r="M95" s="21">
        <f>90510*10/55</f>
        <v>16456.363636363636</v>
      </c>
      <c r="O95" s="1" t="s">
        <v>1753</v>
      </c>
    </row>
    <row r="96" spans="10:15" x14ac:dyDescent="0.2">
      <c r="J96" s="1" t="s">
        <v>1741</v>
      </c>
      <c r="M96" s="21">
        <f>M94+M95</f>
        <v>53183.636363636368</v>
      </c>
    </row>
    <row r="98" spans="10:17" x14ac:dyDescent="0.2">
      <c r="J98" s="1" t="s">
        <v>1754</v>
      </c>
    </row>
    <row r="99" spans="10:17" x14ac:dyDescent="0.2">
      <c r="J99" s="1" t="s">
        <v>1755</v>
      </c>
      <c r="M99" s="19">
        <v>9</v>
      </c>
    </row>
    <row r="100" spans="10:17" x14ac:dyDescent="0.2">
      <c r="J100" s="1" t="s">
        <v>1756</v>
      </c>
      <c r="M100" s="19">
        <f>9*10/2</f>
        <v>45</v>
      </c>
      <c r="Q100" s="1" t="s">
        <v>1757</v>
      </c>
    </row>
    <row r="101" spans="10:17" x14ac:dyDescent="0.2">
      <c r="J101" s="1" t="s">
        <v>1758</v>
      </c>
      <c r="M101" s="19">
        <v>9</v>
      </c>
    </row>
    <row r="102" spans="10:17" x14ac:dyDescent="0.2">
      <c r="J102" s="1" t="s">
        <v>1759</v>
      </c>
      <c r="M102" s="21">
        <f>(276000-50000)*9/45</f>
        <v>45200</v>
      </c>
      <c r="Q102" s="1" t="s">
        <v>1760</v>
      </c>
    </row>
    <row r="104" spans="10:17" x14ac:dyDescent="0.2">
      <c r="J104" s="1" t="s">
        <v>1761</v>
      </c>
    </row>
    <row r="105" spans="10:17" x14ac:dyDescent="0.2">
      <c r="J105" s="1" t="s">
        <v>1548</v>
      </c>
      <c r="M105" s="21">
        <f>M102</f>
        <v>45200</v>
      </c>
    </row>
    <row r="106" spans="10:17" x14ac:dyDescent="0.2">
      <c r="J106" s="1" t="s">
        <v>1762</v>
      </c>
      <c r="M106" s="21">
        <f>Q28*9/45</f>
        <v>2665.2767188648809</v>
      </c>
      <c r="Q106" s="1" t="s">
        <v>1763</v>
      </c>
    </row>
    <row r="107" spans="10:17" x14ac:dyDescent="0.2">
      <c r="J107" s="1" t="s">
        <v>1741</v>
      </c>
      <c r="M107" s="21">
        <f>M105+M106</f>
        <v>47865.27671886488</v>
      </c>
    </row>
    <row r="109" spans="10:17" x14ac:dyDescent="0.2">
      <c r="J109" s="1" t="s">
        <v>1584</v>
      </c>
    </row>
    <row r="110" spans="10:17" x14ac:dyDescent="0.2">
      <c r="J110" s="1" t="s">
        <v>1764</v>
      </c>
      <c r="M110" s="19">
        <v>8</v>
      </c>
    </row>
    <row r="111" spans="10:17" x14ac:dyDescent="0.2">
      <c r="J111" s="1" t="s">
        <v>1765</v>
      </c>
      <c r="M111" s="19">
        <f>M110*9/2</f>
        <v>36</v>
      </c>
      <c r="Q111" s="1" t="s">
        <v>1766</v>
      </c>
    </row>
    <row r="112" spans="10:17" x14ac:dyDescent="0.2">
      <c r="J112" s="1" t="s">
        <v>1767</v>
      </c>
      <c r="M112" s="19">
        <v>8</v>
      </c>
    </row>
    <row r="113" spans="10:17" x14ac:dyDescent="0.2">
      <c r="J113" s="1" t="s">
        <v>1768</v>
      </c>
      <c r="M113" s="21">
        <f>(241461-50000)*8/36*(6/12)</f>
        <v>21273.444444444445</v>
      </c>
      <c r="Q113" s="1" t="s">
        <v>1769</v>
      </c>
    </row>
    <row r="115" spans="10:17" x14ac:dyDescent="0.2">
      <c r="J115" s="1" t="s">
        <v>1761</v>
      </c>
    </row>
    <row r="116" spans="10:17" x14ac:dyDescent="0.2">
      <c r="J116" s="1" t="s">
        <v>1548</v>
      </c>
      <c r="M116" s="21">
        <f>M113</f>
        <v>21273.444444444445</v>
      </c>
    </row>
  </sheetData>
  <mergeCells count="3">
    <mergeCell ref="B38:E38"/>
    <mergeCell ref="F38:H38"/>
    <mergeCell ref="F41:H41"/>
  </mergeCell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6A7BDB-E73E-6C43-9A37-A3E51C0F2C19}">
  <dimension ref="A1"/>
  <sheetViews>
    <sheetView rightToLeft="1" zoomScale="211" workbookViewId="0">
      <selection activeCell="B3" sqref="B3"/>
    </sheetView>
  </sheetViews>
  <sheetFormatPr baseColWidth="10" defaultRowHeight="16" x14ac:dyDescent="0.2"/>
  <cols>
    <col min="1" max="16384" width="10.83203125" style="1"/>
  </cols>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175BEE-37C2-1B42-8AC0-92DF43E35DBD}">
  <dimension ref="A1:H41"/>
  <sheetViews>
    <sheetView showGridLines="0" rightToLeft="1" zoomScale="176" workbookViewId="0">
      <selection activeCell="A2" sqref="A2"/>
    </sheetView>
  </sheetViews>
  <sheetFormatPr baseColWidth="10" defaultRowHeight="16" x14ac:dyDescent="0.2"/>
  <cols>
    <col min="1" max="16384" width="10.83203125" style="1"/>
  </cols>
  <sheetData>
    <row r="1" spans="1:8" x14ac:dyDescent="0.2">
      <c r="A1" s="3" t="s">
        <v>2143</v>
      </c>
      <c r="B1" s="3"/>
      <c r="C1" s="3"/>
      <c r="D1" s="3"/>
      <c r="E1" s="3"/>
      <c r="F1" s="3"/>
      <c r="G1" s="3"/>
      <c r="H1" s="3" t="s">
        <v>1771</v>
      </c>
    </row>
    <row r="2" spans="1:8" ht="17" thickBot="1" x14ac:dyDescent="0.25"/>
    <row r="3" spans="1:8" x14ac:dyDescent="0.2">
      <c r="A3" s="13" t="s">
        <v>1772</v>
      </c>
      <c r="B3" s="5"/>
      <c r="C3" s="5"/>
      <c r="D3" s="5"/>
      <c r="E3" s="5"/>
      <c r="F3" s="5"/>
      <c r="G3" s="5"/>
      <c r="H3" s="6"/>
    </row>
    <row r="4" spans="1:8" x14ac:dyDescent="0.2">
      <c r="A4" s="7" t="s">
        <v>1773</v>
      </c>
      <c r="H4" s="9"/>
    </row>
    <row r="5" spans="1:8" x14ac:dyDescent="0.2">
      <c r="A5" s="7" t="s">
        <v>1774</v>
      </c>
      <c r="H5" s="9"/>
    </row>
    <row r="6" spans="1:8" x14ac:dyDescent="0.2">
      <c r="A6" s="7" t="s">
        <v>1775</v>
      </c>
      <c r="H6" s="9"/>
    </row>
    <row r="7" spans="1:8" x14ac:dyDescent="0.2">
      <c r="A7" s="7" t="s">
        <v>1776</v>
      </c>
      <c r="H7" s="9"/>
    </row>
    <row r="8" spans="1:8" x14ac:dyDescent="0.2">
      <c r="A8" s="7" t="s">
        <v>1777</v>
      </c>
      <c r="H8" s="9"/>
    </row>
    <row r="9" spans="1:8" x14ac:dyDescent="0.2">
      <c r="A9" s="7" t="s">
        <v>1778</v>
      </c>
      <c r="H9" s="9"/>
    </row>
    <row r="10" spans="1:8" x14ac:dyDescent="0.2">
      <c r="A10" s="7" t="s">
        <v>1779</v>
      </c>
      <c r="H10" s="9"/>
    </row>
    <row r="11" spans="1:8" ht="17" thickBot="1" x14ac:dyDescent="0.25">
      <c r="A11" s="10" t="s">
        <v>1780</v>
      </c>
      <c r="B11" s="11"/>
      <c r="C11" s="11"/>
      <c r="D11" s="11"/>
      <c r="E11" s="11"/>
      <c r="F11" s="11"/>
      <c r="G11" s="11"/>
      <c r="H11" s="12"/>
    </row>
    <row r="12" spans="1:8" ht="17" thickBot="1" x14ac:dyDescent="0.25"/>
    <row r="13" spans="1:8" x14ac:dyDescent="0.2">
      <c r="A13" s="4" t="s">
        <v>1781</v>
      </c>
      <c r="B13" s="5"/>
      <c r="C13" s="5"/>
      <c r="D13" s="5"/>
      <c r="E13" s="5"/>
      <c r="F13" s="5"/>
      <c r="G13" s="5"/>
      <c r="H13" s="6"/>
    </row>
    <row r="14" spans="1:8" x14ac:dyDescent="0.2">
      <c r="A14" s="7" t="s">
        <v>1782</v>
      </c>
      <c r="H14" s="9"/>
    </row>
    <row r="15" spans="1:8" x14ac:dyDescent="0.2">
      <c r="A15" s="7" t="s">
        <v>1783</v>
      </c>
      <c r="H15" s="9"/>
    </row>
    <row r="16" spans="1:8" x14ac:dyDescent="0.2">
      <c r="A16" s="7" t="s">
        <v>1784</v>
      </c>
      <c r="H16" s="9"/>
    </row>
    <row r="17" spans="1:8" x14ac:dyDescent="0.2">
      <c r="A17" s="7" t="s">
        <v>1785</v>
      </c>
      <c r="H17" s="9"/>
    </row>
    <row r="18" spans="1:8" ht="17" thickBot="1" x14ac:dyDescent="0.25">
      <c r="A18" s="10" t="s">
        <v>1786</v>
      </c>
      <c r="B18" s="11"/>
      <c r="C18" s="11"/>
      <c r="D18" s="11"/>
      <c r="E18" s="11"/>
      <c r="F18" s="11"/>
      <c r="G18" s="11"/>
      <c r="H18" s="12"/>
    </row>
    <row r="20" spans="1:8" x14ac:dyDescent="0.2">
      <c r="A20" s="2" t="s">
        <v>1787</v>
      </c>
    </row>
    <row r="21" spans="1:8" ht="17" thickBot="1" x14ac:dyDescent="0.25"/>
    <row r="22" spans="1:8" x14ac:dyDescent="0.2">
      <c r="A22" s="13" t="s">
        <v>1788</v>
      </c>
      <c r="B22" s="5"/>
      <c r="C22" s="5"/>
      <c r="D22" s="5"/>
      <c r="E22" s="5"/>
      <c r="F22" s="5"/>
      <c r="G22" s="5"/>
      <c r="H22" s="6"/>
    </row>
    <row r="23" spans="1:8" x14ac:dyDescent="0.2">
      <c r="A23" s="7" t="s">
        <v>1789</v>
      </c>
      <c r="H23" s="9"/>
    </row>
    <row r="24" spans="1:8" x14ac:dyDescent="0.2">
      <c r="A24" s="7" t="s">
        <v>1790</v>
      </c>
      <c r="H24" s="9"/>
    </row>
    <row r="25" spans="1:8" ht="17" thickBot="1" x14ac:dyDescent="0.25">
      <c r="A25" s="10" t="s">
        <v>1791</v>
      </c>
      <c r="B25" s="11"/>
      <c r="C25" s="11"/>
      <c r="D25" s="11"/>
      <c r="E25" s="11"/>
      <c r="F25" s="11"/>
      <c r="G25" s="11"/>
      <c r="H25" s="12"/>
    </row>
    <row r="27" spans="1:8" x14ac:dyDescent="0.2">
      <c r="A27" s="104" t="s">
        <v>1792</v>
      </c>
    </row>
    <row r="28" spans="1:8" x14ac:dyDescent="0.2">
      <c r="A28" s="1" t="s">
        <v>1793</v>
      </c>
    </row>
    <row r="29" spans="1:8" x14ac:dyDescent="0.2">
      <c r="A29" s="1" t="s">
        <v>1794</v>
      </c>
    </row>
    <row r="30" spans="1:8" x14ac:dyDescent="0.2">
      <c r="A30" s="1" t="s">
        <v>1795</v>
      </c>
    </row>
    <row r="31" spans="1:8" x14ac:dyDescent="0.2">
      <c r="A31" s="1" t="s">
        <v>1796</v>
      </c>
    </row>
    <row r="33" spans="1:8" x14ac:dyDescent="0.2">
      <c r="A33" s="1" t="s">
        <v>1797</v>
      </c>
    </row>
    <row r="34" spans="1:8" x14ac:dyDescent="0.2">
      <c r="A34" s="1" t="s">
        <v>1798</v>
      </c>
    </row>
    <row r="35" spans="1:8" ht="17" thickBot="1" x14ac:dyDescent="0.25"/>
    <row r="36" spans="1:8" x14ac:dyDescent="0.2">
      <c r="A36" s="13" t="s">
        <v>1799</v>
      </c>
      <c r="B36" s="5"/>
      <c r="C36" s="5"/>
      <c r="D36" s="5"/>
      <c r="E36" s="5"/>
      <c r="F36" s="5"/>
      <c r="G36" s="5"/>
      <c r="H36" s="6"/>
    </row>
    <row r="37" spans="1:8" x14ac:dyDescent="0.2">
      <c r="A37" s="7" t="s">
        <v>1800</v>
      </c>
      <c r="H37" s="9"/>
    </row>
    <row r="38" spans="1:8" ht="17" thickBot="1" x14ac:dyDescent="0.25">
      <c r="A38" s="10" t="s">
        <v>1801</v>
      </c>
      <c r="B38" s="11"/>
      <c r="C38" s="11"/>
      <c r="D38" s="11"/>
      <c r="E38" s="11"/>
      <c r="F38" s="11"/>
      <c r="G38" s="11"/>
      <c r="H38" s="12"/>
    </row>
    <row r="40" spans="1:8" x14ac:dyDescent="0.2">
      <c r="A40" s="1" t="s">
        <v>1802</v>
      </c>
    </row>
    <row r="41" spans="1:8" x14ac:dyDescent="0.2">
      <c r="G41" s="255" t="s">
        <v>1803</v>
      </c>
    </row>
  </sheetData>
  <hyperlinks>
    <hyperlink ref="G41" r:id="rId1" xr:uid="{F56B3A12-50A0-A44C-BEC8-5B7579E686DB}"/>
  </hyperlink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5D08C4-9ABB-FF4E-A5BC-14A46027E3C9}">
  <dimension ref="A1:H84"/>
  <sheetViews>
    <sheetView rightToLeft="1" zoomScale="257" workbookViewId="0">
      <selection activeCell="A2" sqref="A2"/>
    </sheetView>
  </sheetViews>
  <sheetFormatPr baseColWidth="10" defaultRowHeight="16" x14ac:dyDescent="0.2"/>
  <cols>
    <col min="1" max="16384" width="10.83203125" style="1"/>
  </cols>
  <sheetData>
    <row r="1" spans="1:8" x14ac:dyDescent="0.2">
      <c r="A1" s="3" t="s">
        <v>2046</v>
      </c>
      <c r="B1" s="3"/>
      <c r="C1" s="3"/>
      <c r="D1" s="3"/>
      <c r="E1" s="3"/>
      <c r="F1" s="3"/>
      <c r="G1" s="3" t="s">
        <v>1804</v>
      </c>
      <c r="H1" s="3" t="s">
        <v>1805</v>
      </c>
    </row>
    <row r="3" spans="1:8" x14ac:dyDescent="0.2">
      <c r="A3" s="1" t="s">
        <v>1806</v>
      </c>
    </row>
    <row r="4" spans="1:8" x14ac:dyDescent="0.2">
      <c r="A4" s="1" t="s">
        <v>1807</v>
      </c>
    </row>
    <row r="6" spans="1:8" x14ac:dyDescent="0.2">
      <c r="A6" s="99" t="s">
        <v>1808</v>
      </c>
      <c r="B6" s="99"/>
      <c r="C6" s="99"/>
      <c r="D6" s="99"/>
      <c r="E6" s="99"/>
      <c r="F6" s="99"/>
      <c r="G6" s="99"/>
      <c r="H6" s="99"/>
    </row>
    <row r="7" spans="1:8" x14ac:dyDescent="0.2">
      <c r="A7" s="1" t="s">
        <v>1809</v>
      </c>
    </row>
    <row r="8" spans="1:8" x14ac:dyDescent="0.2">
      <c r="A8" s="1" t="s">
        <v>1810</v>
      </c>
    </row>
    <row r="9" spans="1:8" x14ac:dyDescent="0.2">
      <c r="A9" s="1" t="s">
        <v>1811</v>
      </c>
    </row>
    <row r="10" spans="1:8" x14ac:dyDescent="0.2">
      <c r="A10" s="1" t="s">
        <v>1812</v>
      </c>
    </row>
    <row r="11" spans="1:8" x14ac:dyDescent="0.2">
      <c r="A11" s="1" t="s">
        <v>1813</v>
      </c>
    </row>
    <row r="13" spans="1:8" x14ac:dyDescent="0.2">
      <c r="A13" s="1" t="s">
        <v>1814</v>
      </c>
    </row>
    <row r="14" spans="1:8" x14ac:dyDescent="0.2">
      <c r="A14" s="1" t="s">
        <v>1815</v>
      </c>
    </row>
    <row r="15" spans="1:8" x14ac:dyDescent="0.2">
      <c r="A15" s="1" t="s">
        <v>1816</v>
      </c>
    </row>
    <row r="16" spans="1:8" x14ac:dyDescent="0.2">
      <c r="A16" s="1" t="s">
        <v>1817</v>
      </c>
    </row>
    <row r="18" spans="1:8" x14ac:dyDescent="0.2">
      <c r="A18" s="1" t="s">
        <v>1818</v>
      </c>
    </row>
    <row r="19" spans="1:8" x14ac:dyDescent="0.2">
      <c r="A19" s="1" t="s">
        <v>1819</v>
      </c>
    </row>
    <row r="20" spans="1:8" x14ac:dyDescent="0.2">
      <c r="A20" s="1" t="s">
        <v>1820</v>
      </c>
    </row>
    <row r="22" spans="1:8" x14ac:dyDescent="0.2">
      <c r="A22" s="1" t="s">
        <v>1821</v>
      </c>
    </row>
    <row r="23" spans="1:8" x14ac:dyDescent="0.2">
      <c r="A23" s="1" t="s">
        <v>1822</v>
      </c>
    </row>
    <row r="25" spans="1:8" x14ac:dyDescent="0.2">
      <c r="A25" s="1" t="s">
        <v>1823</v>
      </c>
    </row>
    <row r="26" spans="1:8" x14ac:dyDescent="0.2">
      <c r="A26" s="1" t="s">
        <v>1824</v>
      </c>
    </row>
    <row r="28" spans="1:8" x14ac:dyDescent="0.2">
      <c r="A28" s="98" t="s">
        <v>1825</v>
      </c>
      <c r="B28" s="99"/>
      <c r="C28" s="99"/>
      <c r="D28" s="99"/>
      <c r="E28" s="99"/>
      <c r="F28" s="99"/>
      <c r="G28" s="99"/>
      <c r="H28" s="99"/>
    </row>
    <row r="30" spans="1:8" x14ac:dyDescent="0.2">
      <c r="A30" s="1" t="s">
        <v>1826</v>
      </c>
    </row>
    <row r="31" spans="1:8" x14ac:dyDescent="0.2">
      <c r="A31" s="1" t="s">
        <v>1827</v>
      </c>
    </row>
    <row r="32" spans="1:8" x14ac:dyDescent="0.2">
      <c r="A32" s="1" t="s">
        <v>1828</v>
      </c>
    </row>
    <row r="33" spans="1:8" x14ac:dyDescent="0.2">
      <c r="A33" s="1" t="s">
        <v>1829</v>
      </c>
    </row>
    <row r="34" spans="1:8" x14ac:dyDescent="0.2">
      <c r="A34" s="1" t="s">
        <v>1830</v>
      </c>
    </row>
    <row r="35" spans="1:8" x14ac:dyDescent="0.2">
      <c r="A35" s="1" t="s">
        <v>1831</v>
      </c>
    </row>
    <row r="36" spans="1:8" x14ac:dyDescent="0.2">
      <c r="A36" s="1" t="s">
        <v>1832</v>
      </c>
    </row>
    <row r="38" spans="1:8" x14ac:dyDescent="0.2">
      <c r="A38" s="99" t="s">
        <v>1833</v>
      </c>
      <c r="B38" s="99"/>
      <c r="C38" s="99"/>
      <c r="D38" s="99"/>
      <c r="E38" s="99"/>
      <c r="F38" s="99"/>
      <c r="G38" s="99"/>
      <c r="H38" s="99"/>
    </row>
    <row r="40" spans="1:8" ht="17" thickBot="1" x14ac:dyDescent="0.25">
      <c r="A40" s="1" t="s">
        <v>1834</v>
      </c>
    </row>
    <row r="41" spans="1:8" s="47" customFormat="1" x14ac:dyDescent="0.2">
      <c r="A41" s="256" t="s">
        <v>1835</v>
      </c>
      <c r="B41" s="257"/>
      <c r="C41" s="257"/>
      <c r="D41" s="257"/>
      <c r="E41" s="257"/>
      <c r="F41" s="257"/>
      <c r="G41" s="257"/>
      <c r="H41" s="258"/>
    </row>
    <row r="42" spans="1:8" s="47" customFormat="1" ht="17" thickBot="1" x14ac:dyDescent="0.25">
      <c r="A42" s="259" t="s">
        <v>1836</v>
      </c>
      <c r="B42" s="260"/>
      <c r="C42" s="260"/>
      <c r="D42" s="260"/>
      <c r="E42" s="260"/>
      <c r="F42" s="260"/>
      <c r="G42" s="260"/>
      <c r="H42" s="261"/>
    </row>
    <row r="44" spans="1:8" x14ac:dyDescent="0.2">
      <c r="A44" s="99" t="s">
        <v>1837</v>
      </c>
      <c r="B44" s="99"/>
      <c r="C44" s="99"/>
      <c r="D44" s="99"/>
      <c r="E44" s="99"/>
      <c r="F44" s="99"/>
      <c r="G44" s="99"/>
      <c r="H44" s="99"/>
    </row>
    <row r="45" spans="1:8" s="47" customFormat="1" ht="17" thickBot="1" x14ac:dyDescent="0.25"/>
    <row r="46" spans="1:8" s="47" customFormat="1" ht="17" thickBot="1" x14ac:dyDescent="0.25">
      <c r="A46" s="262" t="s">
        <v>1838</v>
      </c>
      <c r="B46" s="263"/>
      <c r="C46" s="263"/>
      <c r="D46" s="263"/>
      <c r="E46" s="263"/>
      <c r="F46" s="263"/>
      <c r="G46" s="263"/>
      <c r="H46" s="264"/>
    </row>
    <row r="47" spans="1:8" s="47" customFormat="1" x14ac:dyDescent="0.2"/>
    <row r="48" spans="1:8" x14ac:dyDescent="0.2">
      <c r="A48" s="99" t="s">
        <v>1839</v>
      </c>
      <c r="B48" s="99"/>
      <c r="C48" s="99"/>
      <c r="D48" s="99"/>
      <c r="E48" s="99"/>
      <c r="F48" s="99"/>
      <c r="G48" s="99"/>
      <c r="H48" s="99"/>
    </row>
    <row r="50" spans="1:8" x14ac:dyDescent="0.2">
      <c r="A50" s="1" t="s">
        <v>1840</v>
      </c>
    </row>
    <row r="51" spans="1:8" x14ac:dyDescent="0.2">
      <c r="A51" s="1" t="s">
        <v>1841</v>
      </c>
    </row>
    <row r="52" spans="1:8" x14ac:dyDescent="0.2">
      <c r="A52" s="1" t="s">
        <v>1842</v>
      </c>
    </row>
    <row r="54" spans="1:8" x14ac:dyDescent="0.2">
      <c r="A54" s="1" t="s">
        <v>1843</v>
      </c>
    </row>
    <row r="56" spans="1:8" x14ac:dyDescent="0.2">
      <c r="A56" s="99" t="s">
        <v>1844</v>
      </c>
      <c r="B56" s="99"/>
      <c r="C56" s="99"/>
      <c r="D56" s="99"/>
      <c r="E56" s="99"/>
      <c r="F56" s="99"/>
      <c r="G56" s="99"/>
      <c r="H56" s="99"/>
    </row>
    <row r="58" spans="1:8" x14ac:dyDescent="0.2">
      <c r="A58" s="1" t="s">
        <v>1845</v>
      </c>
    </row>
    <row r="59" spans="1:8" x14ac:dyDescent="0.2">
      <c r="A59" s="1" t="s">
        <v>1846</v>
      </c>
    </row>
    <row r="61" spans="1:8" x14ac:dyDescent="0.2">
      <c r="A61" s="99" t="s">
        <v>1847</v>
      </c>
      <c r="B61" s="99"/>
      <c r="C61" s="99"/>
      <c r="D61" s="99"/>
      <c r="E61" s="99"/>
      <c r="F61" s="99"/>
      <c r="G61" s="99"/>
      <c r="H61" s="99"/>
    </row>
    <row r="62" spans="1:8" x14ac:dyDescent="0.2">
      <c r="A62" s="1" t="s">
        <v>1848</v>
      </c>
    </row>
    <row r="63" spans="1:8" x14ac:dyDescent="0.2">
      <c r="A63" s="1" t="s">
        <v>1849</v>
      </c>
    </row>
    <row r="64" spans="1:8" x14ac:dyDescent="0.2">
      <c r="A64" s="1" t="s">
        <v>1850</v>
      </c>
    </row>
    <row r="65" spans="1:8" x14ac:dyDescent="0.2">
      <c r="A65" s="1" t="s">
        <v>1851</v>
      </c>
    </row>
    <row r="66" spans="1:8" x14ac:dyDescent="0.2">
      <c r="A66" s="1" t="s">
        <v>1852</v>
      </c>
    </row>
    <row r="68" spans="1:8" x14ac:dyDescent="0.2">
      <c r="A68" s="1" t="s">
        <v>1853</v>
      </c>
    </row>
    <row r="69" spans="1:8" x14ac:dyDescent="0.2">
      <c r="A69" s="1" t="s">
        <v>1854</v>
      </c>
    </row>
    <row r="71" spans="1:8" x14ac:dyDescent="0.2">
      <c r="A71" s="1" t="s">
        <v>1855</v>
      </c>
    </row>
    <row r="73" spans="1:8" x14ac:dyDescent="0.2">
      <c r="A73" s="99" t="s">
        <v>1856</v>
      </c>
      <c r="B73" s="99"/>
      <c r="C73" s="99"/>
      <c r="D73" s="99"/>
      <c r="E73" s="99"/>
      <c r="F73" s="99"/>
      <c r="G73" s="99"/>
      <c r="H73" s="99"/>
    </row>
    <row r="75" spans="1:8" x14ac:dyDescent="0.2">
      <c r="A75" s="1" t="s">
        <v>1857</v>
      </c>
    </row>
    <row r="76" spans="1:8" x14ac:dyDescent="0.2">
      <c r="A76" s="1" t="s">
        <v>1858</v>
      </c>
    </row>
    <row r="77" spans="1:8" x14ac:dyDescent="0.2">
      <c r="A77" s="1" t="s">
        <v>1859</v>
      </c>
    </row>
    <row r="79" spans="1:8" x14ac:dyDescent="0.2">
      <c r="A79" s="1" t="s">
        <v>1860</v>
      </c>
    </row>
    <row r="81" spans="1:8" x14ac:dyDescent="0.2">
      <c r="A81" s="99" t="s">
        <v>1861</v>
      </c>
      <c r="B81" s="99"/>
      <c r="C81" s="99"/>
      <c r="D81" s="99"/>
      <c r="E81" s="99"/>
      <c r="F81" s="99"/>
      <c r="G81" s="99"/>
      <c r="H81" s="99"/>
    </row>
    <row r="83" spans="1:8" x14ac:dyDescent="0.2">
      <c r="A83" s="1" t="s">
        <v>1862</v>
      </c>
    </row>
    <row r="84" spans="1:8" x14ac:dyDescent="0.2">
      <c r="H84" s="255" t="s">
        <v>1863</v>
      </c>
    </row>
  </sheetData>
  <hyperlinks>
    <hyperlink ref="H84" r:id="rId1" xr:uid="{3F876C21-6105-F94C-BE3C-A5D2BF3436CA}"/>
  </hyperlinks>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2B999C-E8DF-5645-8D31-55EBBE5982D0}">
  <dimension ref="A1:H207"/>
  <sheetViews>
    <sheetView rightToLeft="1" zoomScale="230" zoomScaleNormal="230" workbookViewId="0">
      <selection activeCell="H2" sqref="H2"/>
    </sheetView>
  </sheetViews>
  <sheetFormatPr baseColWidth="10" defaultRowHeight="16" x14ac:dyDescent="0.2"/>
  <cols>
    <col min="1" max="1" width="10.83203125" style="1"/>
    <col min="2" max="3" width="11.33203125" style="1" customWidth="1"/>
    <col min="4" max="7" width="10.83203125" style="1"/>
    <col min="8" max="8" width="13" style="1" customWidth="1"/>
    <col min="9" max="16384" width="10.83203125" style="1"/>
  </cols>
  <sheetData>
    <row r="1" spans="1:8" x14ac:dyDescent="0.2">
      <c r="A1" s="3" t="s">
        <v>2047</v>
      </c>
      <c r="B1" s="3"/>
      <c r="C1" s="3"/>
      <c r="D1" s="3"/>
      <c r="E1" s="3"/>
      <c r="F1" s="3"/>
      <c r="G1" s="3" t="s">
        <v>1864</v>
      </c>
      <c r="H1" s="3" t="s">
        <v>2048</v>
      </c>
    </row>
    <row r="2" spans="1:8" ht="17" thickBot="1" x14ac:dyDescent="0.25"/>
    <row r="3" spans="1:8" x14ac:dyDescent="0.2">
      <c r="A3" s="13" t="s">
        <v>1865</v>
      </c>
      <c r="B3" s="5"/>
      <c r="C3" s="5"/>
      <c r="D3" s="5"/>
      <c r="E3" s="5"/>
      <c r="F3" s="5"/>
      <c r="G3" s="5"/>
      <c r="H3" s="6"/>
    </row>
    <row r="4" spans="1:8" x14ac:dyDescent="0.2">
      <c r="A4" s="7"/>
      <c r="H4" s="9"/>
    </row>
    <row r="5" spans="1:8" x14ac:dyDescent="0.2">
      <c r="A5" s="7" t="s">
        <v>1866</v>
      </c>
      <c r="H5" s="9"/>
    </row>
    <row r="6" spans="1:8" x14ac:dyDescent="0.2">
      <c r="A6" s="7" t="s">
        <v>1867</v>
      </c>
      <c r="H6" s="9"/>
    </row>
    <row r="7" spans="1:8" x14ac:dyDescent="0.2">
      <c r="A7" s="7" t="s">
        <v>1868</v>
      </c>
      <c r="H7" s="9"/>
    </row>
    <row r="8" spans="1:8" x14ac:dyDescent="0.2">
      <c r="A8" s="7"/>
      <c r="H8" s="9"/>
    </row>
    <row r="9" spans="1:8" ht="21" x14ac:dyDescent="0.25">
      <c r="A9" s="265" t="s">
        <v>1869</v>
      </c>
      <c r="B9" s="266"/>
      <c r="C9" s="266"/>
      <c r="D9" s="266"/>
      <c r="E9" s="266"/>
      <c r="F9" s="266"/>
      <c r="G9" s="266"/>
      <c r="H9" s="267"/>
    </row>
    <row r="10" spans="1:8" x14ac:dyDescent="0.2">
      <c r="A10" s="7" t="s">
        <v>1870</v>
      </c>
      <c r="H10" s="9"/>
    </row>
    <row r="11" spans="1:8" x14ac:dyDescent="0.2">
      <c r="A11" s="7" t="s">
        <v>1871</v>
      </c>
      <c r="H11" s="9"/>
    </row>
    <row r="12" spans="1:8" x14ac:dyDescent="0.2">
      <c r="A12" s="7"/>
      <c r="H12" s="9"/>
    </row>
    <row r="13" spans="1:8" ht="17" thickBot="1" x14ac:dyDescent="0.25">
      <c r="A13" s="7"/>
      <c r="H13" s="9"/>
    </row>
    <row r="14" spans="1:8" x14ac:dyDescent="0.2">
      <c r="A14" s="7"/>
      <c r="B14" s="268" t="s">
        <v>1872</v>
      </c>
      <c r="G14" s="269" t="s">
        <v>1873</v>
      </c>
      <c r="H14" s="9"/>
    </row>
    <row r="15" spans="1:8" ht="17" thickBot="1" x14ac:dyDescent="0.25">
      <c r="A15" s="7"/>
      <c r="B15" s="270" t="s">
        <v>1874</v>
      </c>
      <c r="G15" s="271" t="s">
        <v>1875</v>
      </c>
      <c r="H15" s="9"/>
    </row>
    <row r="16" spans="1:8" x14ac:dyDescent="0.2">
      <c r="A16" s="7"/>
      <c r="G16" s="271" t="s">
        <v>1876</v>
      </c>
      <c r="H16" s="9"/>
    </row>
    <row r="17" spans="1:8" ht="17" thickBot="1" x14ac:dyDescent="0.25">
      <c r="A17" s="7"/>
      <c r="G17" s="272" t="s">
        <v>1874</v>
      </c>
      <c r="H17" s="9"/>
    </row>
    <row r="18" spans="1:8" x14ac:dyDescent="0.2">
      <c r="A18" s="7"/>
      <c r="B18" s="273" t="s">
        <v>1877</v>
      </c>
      <c r="H18" s="9"/>
    </row>
    <row r="19" spans="1:8" ht="17" thickBot="1" x14ac:dyDescent="0.25">
      <c r="A19" s="7"/>
      <c r="B19" s="274" t="s">
        <v>1878</v>
      </c>
      <c r="H19" s="9"/>
    </row>
    <row r="20" spans="1:8" ht="17" thickBot="1" x14ac:dyDescent="0.25">
      <c r="A20" s="7"/>
      <c r="G20" s="275" t="s">
        <v>1879</v>
      </c>
      <c r="H20" s="9"/>
    </row>
    <row r="21" spans="1:8" ht="17" thickBot="1" x14ac:dyDescent="0.25">
      <c r="A21" s="7"/>
      <c r="H21" s="9"/>
    </row>
    <row r="22" spans="1:8" ht="17" thickBot="1" x14ac:dyDescent="0.25">
      <c r="A22" s="7"/>
      <c r="B22" s="273" t="s">
        <v>1880</v>
      </c>
      <c r="H22" s="9"/>
    </row>
    <row r="23" spans="1:8" ht="17" thickBot="1" x14ac:dyDescent="0.25">
      <c r="A23" s="7"/>
      <c r="B23" s="276" t="s">
        <v>1881</v>
      </c>
      <c r="F23" s="277" t="s">
        <v>1882</v>
      </c>
      <c r="H23" s="278" t="s">
        <v>1883</v>
      </c>
    </row>
    <row r="24" spans="1:8" ht="17" thickBot="1" x14ac:dyDescent="0.25">
      <c r="A24" s="7"/>
      <c r="B24" s="276" t="s">
        <v>1884</v>
      </c>
      <c r="H24" s="279" t="s">
        <v>1885</v>
      </c>
    </row>
    <row r="25" spans="1:8" ht="17" thickBot="1" x14ac:dyDescent="0.25">
      <c r="A25" s="7"/>
      <c r="B25" s="274" t="s">
        <v>1886</v>
      </c>
      <c r="H25" s="9"/>
    </row>
    <row r="26" spans="1:8" x14ac:dyDescent="0.2">
      <c r="A26" s="7"/>
      <c r="B26" s="273" t="s">
        <v>1887</v>
      </c>
      <c r="D26" s="4" t="s">
        <v>1888</v>
      </c>
      <c r="E26" s="5"/>
      <c r="F26" s="5"/>
      <c r="G26" s="5"/>
      <c r="H26" s="6"/>
    </row>
    <row r="27" spans="1:8" x14ac:dyDescent="0.2">
      <c r="A27" s="7"/>
      <c r="B27" s="276" t="s">
        <v>1889</v>
      </c>
      <c r="D27" s="7" t="s">
        <v>1890</v>
      </c>
      <c r="H27" s="9"/>
    </row>
    <row r="28" spans="1:8" x14ac:dyDescent="0.2">
      <c r="A28" s="7"/>
      <c r="B28" s="276" t="s">
        <v>1891</v>
      </c>
      <c r="D28" s="7" t="s">
        <v>1892</v>
      </c>
      <c r="H28" s="9"/>
    </row>
    <row r="29" spans="1:8" ht="17" thickBot="1" x14ac:dyDescent="0.25">
      <c r="A29" s="7"/>
      <c r="B29" s="274" t="s">
        <v>1893</v>
      </c>
      <c r="D29" s="7" t="s">
        <v>1894</v>
      </c>
      <c r="H29" s="9"/>
    </row>
    <row r="30" spans="1:8" x14ac:dyDescent="0.2">
      <c r="A30" s="7"/>
      <c r="D30" s="7" t="s">
        <v>1895</v>
      </c>
      <c r="H30" s="9"/>
    </row>
    <row r="31" spans="1:8" x14ac:dyDescent="0.2">
      <c r="A31" s="7"/>
      <c r="D31" s="7" t="s">
        <v>1896</v>
      </c>
      <c r="H31" s="9"/>
    </row>
    <row r="32" spans="1:8" ht="17" thickBot="1" x14ac:dyDescent="0.25">
      <c r="A32" s="7"/>
      <c r="D32" s="280" t="s">
        <v>1897</v>
      </c>
      <c r="E32" s="11"/>
      <c r="F32" s="11"/>
      <c r="G32" s="11"/>
      <c r="H32" s="12"/>
    </row>
    <row r="33" spans="1:8" ht="17" thickBot="1" x14ac:dyDescent="0.25">
      <c r="A33" s="7"/>
      <c r="D33" s="28"/>
      <c r="H33" s="9"/>
    </row>
    <row r="34" spans="1:8" x14ac:dyDescent="0.2">
      <c r="A34" s="7"/>
      <c r="B34" s="4" t="s">
        <v>1898</v>
      </c>
      <c r="C34" s="5"/>
      <c r="D34" s="5"/>
      <c r="E34" s="5"/>
      <c r="F34" s="5"/>
      <c r="G34" s="5"/>
      <c r="H34" s="6"/>
    </row>
    <row r="35" spans="1:8" x14ac:dyDescent="0.2">
      <c r="A35" s="7"/>
      <c r="B35" s="7" t="s">
        <v>1899</v>
      </c>
      <c r="D35" s="28"/>
      <c r="H35" s="9"/>
    </row>
    <row r="36" spans="1:8" x14ac:dyDescent="0.2">
      <c r="A36" s="7"/>
      <c r="B36" s="7"/>
      <c r="H36" s="9"/>
    </row>
    <row r="37" spans="1:8" ht="17" thickBot="1" x14ac:dyDescent="0.25">
      <c r="A37" s="7"/>
      <c r="B37" s="10"/>
      <c r="C37" s="11"/>
      <c r="D37" s="281"/>
      <c r="E37" s="11"/>
      <c r="F37" s="11"/>
      <c r="G37" s="11"/>
      <c r="H37" s="12"/>
    </row>
    <row r="38" spans="1:8" ht="17" thickBot="1" x14ac:dyDescent="0.25">
      <c r="A38" s="10"/>
      <c r="B38" s="11"/>
      <c r="C38" s="11"/>
      <c r="D38" s="11"/>
      <c r="E38" s="11"/>
      <c r="F38" s="11"/>
      <c r="G38" s="11"/>
      <c r="H38" s="12"/>
    </row>
    <row r="39" spans="1:8" ht="17" thickBot="1" x14ac:dyDescent="0.25"/>
    <row r="40" spans="1:8" x14ac:dyDescent="0.2">
      <c r="A40" s="282" t="s">
        <v>1900</v>
      </c>
      <c r="B40" s="283"/>
      <c r="C40" s="283"/>
      <c r="D40" s="283"/>
      <c r="E40" s="283"/>
      <c r="F40" s="283"/>
      <c r="G40" s="283"/>
      <c r="H40" s="284"/>
    </row>
    <row r="41" spans="1:8" x14ac:dyDescent="0.2">
      <c r="A41" s="7"/>
      <c r="H41" s="9"/>
    </row>
    <row r="42" spans="1:8" x14ac:dyDescent="0.2">
      <c r="A42" s="285" t="s">
        <v>1901</v>
      </c>
      <c r="B42" s="75"/>
      <c r="C42" s="75"/>
      <c r="D42" s="75"/>
      <c r="E42" s="75"/>
      <c r="F42" s="75"/>
      <c r="G42" s="75"/>
      <c r="H42" s="286"/>
    </row>
    <row r="43" spans="1:8" x14ac:dyDescent="0.2">
      <c r="A43" s="7" t="s">
        <v>1902</v>
      </c>
      <c r="H43" s="9"/>
    </row>
    <row r="44" spans="1:8" x14ac:dyDescent="0.2">
      <c r="A44" s="7" t="s">
        <v>1903</v>
      </c>
      <c r="H44" s="9"/>
    </row>
    <row r="45" spans="1:8" x14ac:dyDescent="0.2">
      <c r="A45" s="7" t="s">
        <v>1904</v>
      </c>
      <c r="H45" s="9"/>
    </row>
    <row r="46" spans="1:8" x14ac:dyDescent="0.2">
      <c r="A46" s="7" t="s">
        <v>1905</v>
      </c>
      <c r="H46" s="9"/>
    </row>
    <row r="47" spans="1:8" x14ac:dyDescent="0.2">
      <c r="A47" s="7" t="s">
        <v>1906</v>
      </c>
      <c r="H47" s="9"/>
    </row>
    <row r="48" spans="1:8" ht="17" thickBot="1" x14ac:dyDescent="0.25">
      <c r="A48" s="287" t="s">
        <v>1907</v>
      </c>
      <c r="B48" s="288"/>
      <c r="C48" s="288"/>
      <c r="D48" s="288"/>
      <c r="E48" s="288"/>
      <c r="F48" s="288"/>
      <c r="G48" s="288"/>
      <c r="H48" s="289"/>
    </row>
    <row r="49" spans="1:8" ht="17" thickBot="1" x14ac:dyDescent="0.25"/>
    <row r="50" spans="1:8" x14ac:dyDescent="0.2">
      <c r="A50" s="290" t="s">
        <v>1908</v>
      </c>
      <c r="B50" s="291"/>
      <c r="C50" s="291"/>
      <c r="D50" s="291"/>
      <c r="E50" s="291"/>
      <c r="F50" s="291"/>
      <c r="G50" s="291"/>
      <c r="H50" s="292"/>
    </row>
    <row r="51" spans="1:8" x14ac:dyDescent="0.2">
      <c r="A51" s="7"/>
      <c r="H51" s="9"/>
    </row>
    <row r="52" spans="1:8" x14ac:dyDescent="0.2">
      <c r="A52" s="7" t="s">
        <v>1909</v>
      </c>
      <c r="H52" s="9"/>
    </row>
    <row r="53" spans="1:8" x14ac:dyDescent="0.2">
      <c r="A53" s="7" t="s">
        <v>1910</v>
      </c>
      <c r="H53" s="9"/>
    </row>
    <row r="54" spans="1:8" x14ac:dyDescent="0.2">
      <c r="A54" s="7" t="s">
        <v>1911</v>
      </c>
      <c r="H54" s="9"/>
    </row>
    <row r="55" spans="1:8" x14ac:dyDescent="0.2">
      <c r="A55" s="7" t="s">
        <v>1912</v>
      </c>
      <c r="H55" s="9"/>
    </row>
    <row r="56" spans="1:8" x14ac:dyDescent="0.2">
      <c r="A56" s="7" t="s">
        <v>1913</v>
      </c>
      <c r="H56" s="9"/>
    </row>
    <row r="57" spans="1:8" x14ac:dyDescent="0.2">
      <c r="A57" s="7"/>
      <c r="H57" s="9"/>
    </row>
    <row r="58" spans="1:8" x14ac:dyDescent="0.2">
      <c r="A58" s="7" t="s">
        <v>1914</v>
      </c>
      <c r="H58" s="9"/>
    </row>
    <row r="59" spans="1:8" x14ac:dyDescent="0.2">
      <c r="A59" s="7" t="s">
        <v>1915</v>
      </c>
      <c r="H59" s="9"/>
    </row>
    <row r="60" spans="1:8" x14ac:dyDescent="0.2">
      <c r="A60" s="7" t="s">
        <v>1916</v>
      </c>
      <c r="H60" s="9"/>
    </row>
    <row r="61" spans="1:8" x14ac:dyDescent="0.2">
      <c r="A61" s="7"/>
      <c r="H61" s="9"/>
    </row>
    <row r="62" spans="1:8" x14ac:dyDescent="0.2">
      <c r="A62" s="293" t="s">
        <v>1917</v>
      </c>
      <c r="H62" s="9"/>
    </row>
    <row r="63" spans="1:8" ht="17" thickBot="1" x14ac:dyDescent="0.25">
      <c r="A63" s="294" t="s">
        <v>1918</v>
      </c>
      <c r="B63" s="11"/>
      <c r="C63" s="11"/>
      <c r="D63" s="11"/>
      <c r="E63" s="11"/>
      <c r="F63" s="11"/>
      <c r="G63" s="11"/>
      <c r="H63" s="12"/>
    </row>
    <row r="64" spans="1:8" ht="17" thickBot="1" x14ac:dyDescent="0.25"/>
    <row r="65" spans="1:8" x14ac:dyDescent="0.2">
      <c r="A65" s="290" t="s">
        <v>387</v>
      </c>
      <c r="B65" s="291"/>
      <c r="C65" s="291"/>
      <c r="D65" s="291"/>
      <c r="E65" s="291"/>
      <c r="F65" s="291"/>
      <c r="G65" s="291"/>
      <c r="H65" s="292"/>
    </row>
    <row r="66" spans="1:8" x14ac:dyDescent="0.2">
      <c r="A66" s="7" t="s">
        <v>1919</v>
      </c>
      <c r="H66" s="9"/>
    </row>
    <row r="67" spans="1:8" x14ac:dyDescent="0.2">
      <c r="A67" s="7" t="s">
        <v>1920</v>
      </c>
      <c r="H67" s="9"/>
    </row>
    <row r="68" spans="1:8" x14ac:dyDescent="0.2">
      <c r="A68" s="7" t="s">
        <v>1921</v>
      </c>
      <c r="H68" s="9"/>
    </row>
    <row r="69" spans="1:8" x14ac:dyDescent="0.2">
      <c r="A69" s="7" t="s">
        <v>1922</v>
      </c>
      <c r="H69" s="9"/>
    </row>
    <row r="70" spans="1:8" x14ac:dyDescent="0.2">
      <c r="A70" s="7" t="s">
        <v>1923</v>
      </c>
      <c r="H70" s="9"/>
    </row>
    <row r="71" spans="1:8" x14ac:dyDescent="0.2">
      <c r="A71" s="7" t="s">
        <v>1924</v>
      </c>
      <c r="H71" s="9"/>
    </row>
    <row r="72" spans="1:8" x14ac:dyDescent="0.2">
      <c r="A72" s="7" t="s">
        <v>1925</v>
      </c>
      <c r="H72" s="9"/>
    </row>
    <row r="73" spans="1:8" x14ac:dyDescent="0.2">
      <c r="A73" s="7" t="s">
        <v>1926</v>
      </c>
      <c r="H73" s="9"/>
    </row>
    <row r="74" spans="1:8" x14ac:dyDescent="0.2">
      <c r="A74" s="7" t="s">
        <v>1927</v>
      </c>
      <c r="H74" s="9"/>
    </row>
    <row r="75" spans="1:8" x14ac:dyDescent="0.2">
      <c r="A75" s="7"/>
      <c r="H75" s="9"/>
    </row>
    <row r="76" spans="1:8" ht="17" thickBot="1" x14ac:dyDescent="0.25">
      <c r="A76" s="10" t="s">
        <v>1928</v>
      </c>
      <c r="B76" s="11"/>
      <c r="C76" s="11"/>
      <c r="D76" s="11"/>
      <c r="E76" s="11"/>
      <c r="F76" s="11"/>
      <c r="G76" s="11"/>
      <c r="H76" s="12"/>
    </row>
    <row r="77" spans="1:8" ht="17" thickBot="1" x14ac:dyDescent="0.25"/>
    <row r="78" spans="1:8" x14ac:dyDescent="0.2">
      <c r="A78" s="290" t="s">
        <v>1929</v>
      </c>
      <c r="B78" s="291"/>
      <c r="C78" s="291"/>
      <c r="D78" s="291"/>
      <c r="E78" s="291"/>
      <c r="F78" s="291"/>
      <c r="G78" s="291"/>
      <c r="H78" s="292"/>
    </row>
    <row r="79" spans="1:8" x14ac:dyDescent="0.2">
      <c r="A79" s="7" t="s">
        <v>1930</v>
      </c>
      <c r="H79" s="9"/>
    </row>
    <row r="80" spans="1:8" x14ac:dyDescent="0.2">
      <c r="A80" s="7" t="s">
        <v>1931</v>
      </c>
      <c r="H80" s="9"/>
    </row>
    <row r="81" spans="1:8" ht="17" thickBot="1" x14ac:dyDescent="0.25">
      <c r="A81" s="10" t="s">
        <v>1932</v>
      </c>
      <c r="B81" s="11"/>
      <c r="C81" s="11"/>
      <c r="D81" s="11"/>
      <c r="E81" s="11"/>
      <c r="F81" s="11"/>
      <c r="G81" s="11"/>
      <c r="H81" s="12"/>
    </row>
    <row r="82" spans="1:8" ht="17" thickBot="1" x14ac:dyDescent="0.25"/>
    <row r="83" spans="1:8" x14ac:dyDescent="0.2">
      <c r="A83" s="290" t="s">
        <v>408</v>
      </c>
      <c r="B83" s="291"/>
      <c r="C83" s="291"/>
      <c r="D83" s="291"/>
      <c r="E83" s="291"/>
      <c r="F83" s="291"/>
      <c r="G83" s="291"/>
      <c r="H83" s="292"/>
    </row>
    <row r="84" spans="1:8" x14ac:dyDescent="0.2">
      <c r="A84" s="7" t="s">
        <v>1933</v>
      </c>
      <c r="H84" s="9"/>
    </row>
    <row r="85" spans="1:8" x14ac:dyDescent="0.2">
      <c r="A85" s="7" t="s">
        <v>1934</v>
      </c>
      <c r="H85" s="9"/>
    </row>
    <row r="86" spans="1:8" x14ac:dyDescent="0.2">
      <c r="A86" s="7" t="s">
        <v>1935</v>
      </c>
      <c r="H86" s="9"/>
    </row>
    <row r="87" spans="1:8" x14ac:dyDescent="0.2">
      <c r="A87" s="7" t="s">
        <v>1936</v>
      </c>
      <c r="H87" s="9"/>
    </row>
    <row r="88" spans="1:8" x14ac:dyDescent="0.2">
      <c r="A88" s="7" t="s">
        <v>1937</v>
      </c>
      <c r="H88" s="9"/>
    </row>
    <row r="89" spans="1:8" x14ac:dyDescent="0.2">
      <c r="A89" s="7" t="s">
        <v>1938</v>
      </c>
      <c r="H89" s="9"/>
    </row>
    <row r="90" spans="1:8" x14ac:dyDescent="0.2">
      <c r="A90" s="7" t="s">
        <v>1939</v>
      </c>
      <c r="H90" s="9"/>
    </row>
    <row r="91" spans="1:8" x14ac:dyDescent="0.2">
      <c r="A91" s="7"/>
      <c r="H91" s="9"/>
    </row>
    <row r="92" spans="1:8" x14ac:dyDescent="0.2">
      <c r="A92" s="7" t="s">
        <v>1940</v>
      </c>
      <c r="H92" s="9"/>
    </row>
    <row r="93" spans="1:8" ht="17" thickBot="1" x14ac:dyDescent="0.25">
      <c r="A93" s="10" t="s">
        <v>1941</v>
      </c>
      <c r="B93" s="11"/>
      <c r="C93" s="11"/>
      <c r="D93" s="11"/>
      <c r="E93" s="11"/>
      <c r="F93" s="11"/>
      <c r="G93" s="11"/>
      <c r="H93" s="12"/>
    </row>
    <row r="95" spans="1:8" ht="17" thickBot="1" x14ac:dyDescent="0.25"/>
    <row r="96" spans="1:8" ht="17" thickBot="1" x14ac:dyDescent="0.25">
      <c r="A96" s="290" t="s">
        <v>1942</v>
      </c>
      <c r="B96" s="291"/>
      <c r="C96" s="291"/>
      <c r="D96" s="291"/>
      <c r="E96" s="291"/>
      <c r="F96" s="291"/>
      <c r="G96" s="291"/>
      <c r="H96" s="292"/>
    </row>
    <row r="97" spans="1:8" x14ac:dyDescent="0.2">
      <c r="A97" s="4" t="s">
        <v>1943</v>
      </c>
      <c r="B97" s="5"/>
      <c r="C97" s="5"/>
      <c r="D97" s="5"/>
      <c r="E97" s="5"/>
      <c r="F97" s="5"/>
      <c r="G97" s="5"/>
      <c r="H97" s="6"/>
    </row>
    <row r="98" spans="1:8" x14ac:dyDescent="0.2">
      <c r="A98" s="7" t="s">
        <v>1944</v>
      </c>
      <c r="H98" s="9"/>
    </row>
    <row r="99" spans="1:8" ht="17" thickBot="1" x14ac:dyDescent="0.25">
      <c r="A99" s="10" t="s">
        <v>1945</v>
      </c>
      <c r="B99" s="11"/>
      <c r="C99" s="11"/>
      <c r="D99" s="11"/>
      <c r="E99" s="11"/>
      <c r="F99" s="11"/>
      <c r="G99" s="11"/>
      <c r="H99" s="12"/>
    </row>
    <row r="101" spans="1:8" ht="21" x14ac:dyDescent="0.25">
      <c r="A101" s="265" t="s">
        <v>1946</v>
      </c>
      <c r="B101" s="266"/>
      <c r="C101" s="266"/>
      <c r="D101" s="266"/>
      <c r="E101" s="266"/>
      <c r="F101" s="266"/>
      <c r="G101" s="266"/>
      <c r="H101" s="267"/>
    </row>
    <row r="102" spans="1:8" ht="17" thickBot="1" x14ac:dyDescent="0.25"/>
    <row r="103" spans="1:8" ht="17" thickBot="1" x14ac:dyDescent="0.25">
      <c r="A103" s="295" t="s">
        <v>1947</v>
      </c>
      <c r="B103" s="296"/>
      <c r="C103" s="296"/>
      <c r="D103" s="296"/>
      <c r="E103" s="296"/>
      <c r="F103" s="296"/>
      <c r="G103" s="296"/>
      <c r="H103" s="297"/>
    </row>
    <row r="104" spans="1:8" ht="17" thickBot="1" x14ac:dyDescent="0.25"/>
    <row r="105" spans="1:8" x14ac:dyDescent="0.2">
      <c r="A105" s="4" t="s">
        <v>1948</v>
      </c>
      <c r="B105" s="5"/>
      <c r="C105" s="5"/>
      <c r="D105" s="5"/>
      <c r="E105" s="5"/>
      <c r="F105" s="5"/>
      <c r="G105" s="5"/>
      <c r="H105" s="6"/>
    </row>
    <row r="106" spans="1:8" x14ac:dyDescent="0.2">
      <c r="A106" s="7" t="s">
        <v>1949</v>
      </c>
      <c r="H106" s="9"/>
    </row>
    <row r="107" spans="1:8" x14ac:dyDescent="0.2">
      <c r="A107" s="7" t="s">
        <v>1950</v>
      </c>
      <c r="H107" s="9"/>
    </row>
    <row r="108" spans="1:8" ht="17" thickBot="1" x14ac:dyDescent="0.25">
      <c r="A108" s="10" t="s">
        <v>1951</v>
      </c>
      <c r="B108" s="11"/>
      <c r="C108" s="11"/>
      <c r="D108" s="11"/>
      <c r="E108" s="11"/>
      <c r="F108" s="11"/>
      <c r="G108" s="11"/>
      <c r="H108" s="12"/>
    </row>
    <row r="111" spans="1:8" ht="17" thickBot="1" x14ac:dyDescent="0.25"/>
    <row r="112" spans="1:8" ht="17" thickBot="1" x14ac:dyDescent="0.25">
      <c r="B112" s="334" t="s">
        <v>1825</v>
      </c>
      <c r="C112" s="335"/>
      <c r="E112" s="334" t="s">
        <v>1952</v>
      </c>
      <c r="F112" s="335"/>
      <c r="H112" s="275" t="s">
        <v>1856</v>
      </c>
    </row>
    <row r="115" spans="2:8" ht="17" thickBot="1" x14ac:dyDescent="0.25"/>
    <row r="116" spans="2:8" ht="17" thickBot="1" x14ac:dyDescent="0.25">
      <c r="B116" s="4" t="s">
        <v>1953</v>
      </c>
      <c r="C116" s="6"/>
      <c r="E116" s="4" t="s">
        <v>1954</v>
      </c>
      <c r="F116" s="6"/>
      <c r="H116" s="275" t="s">
        <v>1955</v>
      </c>
    </row>
    <row r="117" spans="2:8" ht="17" thickBot="1" x14ac:dyDescent="0.25">
      <c r="B117" s="7" t="s">
        <v>1956</v>
      </c>
      <c r="C117" s="9"/>
      <c r="E117" s="7" t="s">
        <v>1957</v>
      </c>
      <c r="F117" s="9"/>
      <c r="H117" s="275" t="s">
        <v>1958</v>
      </c>
    </row>
    <row r="118" spans="2:8" ht="17" thickBot="1" x14ac:dyDescent="0.25">
      <c r="B118" s="7" t="s">
        <v>1959</v>
      </c>
      <c r="C118" s="9"/>
      <c r="E118" s="7" t="s">
        <v>1960</v>
      </c>
      <c r="F118" s="9"/>
      <c r="H118" s="275" t="s">
        <v>1961</v>
      </c>
    </row>
    <row r="119" spans="2:8" ht="17" thickBot="1" x14ac:dyDescent="0.25">
      <c r="B119" s="293" t="s">
        <v>1962</v>
      </c>
      <c r="C119" s="9"/>
      <c r="E119" s="7" t="s">
        <v>1963</v>
      </c>
      <c r="F119" s="9"/>
      <c r="H119" s="275" t="s">
        <v>1964</v>
      </c>
    </row>
    <row r="120" spans="2:8" x14ac:dyDescent="0.2">
      <c r="B120" s="293" t="s">
        <v>1965</v>
      </c>
      <c r="C120" s="9"/>
      <c r="E120" s="7" t="s">
        <v>1966</v>
      </c>
      <c r="F120" s="9"/>
    </row>
    <row r="121" spans="2:8" x14ac:dyDescent="0.2">
      <c r="B121" s="293" t="s">
        <v>1967</v>
      </c>
      <c r="C121" s="9"/>
      <c r="E121" s="7" t="s">
        <v>1968</v>
      </c>
      <c r="F121" s="9"/>
    </row>
    <row r="122" spans="2:8" x14ac:dyDescent="0.2">
      <c r="B122" s="293" t="s">
        <v>1969</v>
      </c>
      <c r="C122" s="9"/>
      <c r="E122" s="7" t="s">
        <v>1970</v>
      </c>
      <c r="F122" s="9"/>
    </row>
    <row r="123" spans="2:8" x14ac:dyDescent="0.2">
      <c r="B123" s="293" t="s">
        <v>1971</v>
      </c>
      <c r="C123" s="9"/>
      <c r="E123" s="7" t="s">
        <v>1972</v>
      </c>
      <c r="F123" s="9"/>
    </row>
    <row r="124" spans="2:8" ht="17" thickBot="1" x14ac:dyDescent="0.25">
      <c r="B124" s="294" t="s">
        <v>1973</v>
      </c>
      <c r="C124" s="12"/>
      <c r="E124" s="7" t="s">
        <v>1974</v>
      </c>
      <c r="F124" s="9"/>
    </row>
    <row r="125" spans="2:8" x14ac:dyDescent="0.2">
      <c r="E125" s="7" t="s">
        <v>1975</v>
      </c>
      <c r="F125" s="9"/>
    </row>
    <row r="126" spans="2:8" x14ac:dyDescent="0.2">
      <c r="E126" s="7" t="s">
        <v>1976</v>
      </c>
      <c r="F126" s="9"/>
    </row>
    <row r="127" spans="2:8" ht="17" thickBot="1" x14ac:dyDescent="0.25">
      <c r="E127" s="10" t="s">
        <v>1977</v>
      </c>
      <c r="F127" s="12"/>
    </row>
    <row r="128" spans="2:8" ht="17" thickBot="1" x14ac:dyDescent="0.25"/>
    <row r="129" spans="1:7" ht="17" thickBot="1" x14ac:dyDescent="0.25">
      <c r="A129" s="298" t="s">
        <v>1978</v>
      </c>
      <c r="B129" s="299"/>
      <c r="C129" s="299"/>
      <c r="D129" s="300"/>
    </row>
    <row r="130" spans="1:7" x14ac:dyDescent="0.2">
      <c r="A130" s="336" t="s">
        <v>1979</v>
      </c>
      <c r="B130" s="336"/>
      <c r="C130" s="336"/>
      <c r="D130" s="336"/>
    </row>
    <row r="131" spans="1:7" ht="17" thickBot="1" x14ac:dyDescent="0.25"/>
    <row r="132" spans="1:7" x14ac:dyDescent="0.2">
      <c r="A132" s="4" t="s">
        <v>1980</v>
      </c>
      <c r="B132" s="6"/>
      <c r="D132" s="4" t="s">
        <v>1981</v>
      </c>
      <c r="E132" s="5"/>
      <c r="F132" s="5"/>
      <c r="G132" s="6"/>
    </row>
    <row r="133" spans="1:7" x14ac:dyDescent="0.2">
      <c r="A133" s="7" t="s">
        <v>1982</v>
      </c>
      <c r="B133" s="9"/>
      <c r="D133" s="7" t="s">
        <v>1983</v>
      </c>
      <c r="G133" s="9"/>
    </row>
    <row r="134" spans="1:7" ht="17" thickBot="1" x14ac:dyDescent="0.25">
      <c r="A134" s="7" t="s">
        <v>1984</v>
      </c>
      <c r="B134" s="9"/>
      <c r="D134" s="10" t="s">
        <v>1985</v>
      </c>
      <c r="E134" s="11"/>
      <c r="F134" s="11"/>
      <c r="G134" s="12"/>
    </row>
    <row r="135" spans="1:7" x14ac:dyDescent="0.2">
      <c r="A135" s="7" t="s">
        <v>1986</v>
      </c>
      <c r="B135" s="9"/>
    </row>
    <row r="136" spans="1:7" x14ac:dyDescent="0.2">
      <c r="A136" s="7" t="s">
        <v>1987</v>
      </c>
      <c r="B136" s="9"/>
    </row>
    <row r="137" spans="1:7" x14ac:dyDescent="0.2">
      <c r="A137" s="7" t="s">
        <v>1988</v>
      </c>
      <c r="B137" s="9"/>
    </row>
    <row r="138" spans="1:7" ht="17" thickBot="1" x14ac:dyDescent="0.25">
      <c r="A138" s="10" t="s">
        <v>1989</v>
      </c>
      <c r="B138" s="12"/>
    </row>
    <row r="139" spans="1:7" ht="17" thickBot="1" x14ac:dyDescent="0.25">
      <c r="D139" s="2" t="s">
        <v>1990</v>
      </c>
    </row>
    <row r="140" spans="1:7" ht="17" thickBot="1" x14ac:dyDescent="0.25">
      <c r="D140" s="4" t="s">
        <v>1991</v>
      </c>
      <c r="E140" s="5"/>
      <c r="F140" s="5"/>
      <c r="G140" s="6"/>
    </row>
    <row r="141" spans="1:7" x14ac:dyDescent="0.2">
      <c r="A141" s="4" t="s">
        <v>1992</v>
      </c>
      <c r="B141" s="6"/>
      <c r="C141" s="1" t="s">
        <v>576</v>
      </c>
      <c r="D141" s="7" t="s">
        <v>1993</v>
      </c>
      <c r="G141" s="9"/>
    </row>
    <row r="142" spans="1:7" x14ac:dyDescent="0.2">
      <c r="A142" s="7" t="s">
        <v>1994</v>
      </c>
      <c r="B142" s="9"/>
      <c r="D142" s="7" t="s">
        <v>1995</v>
      </c>
      <c r="G142" s="9"/>
    </row>
    <row r="143" spans="1:7" ht="17" thickBot="1" x14ac:dyDescent="0.25">
      <c r="A143" s="10" t="s">
        <v>1996</v>
      </c>
      <c r="B143" s="12"/>
      <c r="D143" s="10" t="s">
        <v>1997</v>
      </c>
      <c r="E143" s="11"/>
      <c r="F143" s="11"/>
      <c r="G143" s="12"/>
    </row>
    <row r="144" spans="1:7" x14ac:dyDescent="0.2">
      <c r="B144" s="1" t="s">
        <v>577</v>
      </c>
    </row>
    <row r="145" spans="1:5" ht="17" thickBot="1" x14ac:dyDescent="0.25"/>
    <row r="146" spans="1:5" ht="17" thickBot="1" x14ac:dyDescent="0.25">
      <c r="A146" s="32" t="s">
        <v>1998</v>
      </c>
      <c r="B146" s="34"/>
    </row>
    <row r="148" spans="1:5" ht="17" thickBot="1" x14ac:dyDescent="0.25"/>
    <row r="149" spans="1:5" x14ac:dyDescent="0.2">
      <c r="C149" s="4" t="s">
        <v>1999</v>
      </c>
      <c r="D149" s="6"/>
    </row>
    <row r="150" spans="1:5" ht="17" thickBot="1" x14ac:dyDescent="0.25">
      <c r="C150" s="10" t="s">
        <v>2000</v>
      </c>
      <c r="D150" s="12"/>
    </row>
    <row r="151" spans="1:5" ht="17" thickBot="1" x14ac:dyDescent="0.25"/>
    <row r="152" spans="1:5" ht="17" thickBot="1" x14ac:dyDescent="0.25">
      <c r="A152" s="337" t="s">
        <v>2001</v>
      </c>
      <c r="B152" s="338"/>
      <c r="C152" s="338"/>
      <c r="D152" s="338"/>
      <c r="E152" s="339"/>
    </row>
    <row r="155" spans="1:5" ht="17" thickBot="1" x14ac:dyDescent="0.25"/>
    <row r="156" spans="1:5" ht="17" thickBot="1" x14ac:dyDescent="0.25">
      <c r="A156" s="273" t="s">
        <v>2002</v>
      </c>
      <c r="B156" s="273" t="s">
        <v>1542</v>
      </c>
      <c r="C156" s="273" t="s">
        <v>1542</v>
      </c>
      <c r="D156" s="275" t="s">
        <v>2003</v>
      </c>
      <c r="E156" s="275" t="s">
        <v>1458</v>
      </c>
    </row>
    <row r="157" spans="1:5" ht="17" thickBot="1" x14ac:dyDescent="0.25">
      <c r="A157" s="274" t="s">
        <v>2004</v>
      </c>
      <c r="B157" s="274" t="s">
        <v>2005</v>
      </c>
      <c r="C157" s="274" t="s">
        <v>2006</v>
      </c>
    </row>
    <row r="158" spans="1:5" x14ac:dyDescent="0.2">
      <c r="A158" s="1" t="s">
        <v>2007</v>
      </c>
    </row>
    <row r="160" spans="1:5" x14ac:dyDescent="0.2">
      <c r="B160" s="1" t="s">
        <v>2008</v>
      </c>
    </row>
    <row r="161" spans="1:8" x14ac:dyDescent="0.2">
      <c r="A161" s="1" t="s">
        <v>2009</v>
      </c>
    </row>
    <row r="162" spans="1:8" x14ac:dyDescent="0.2">
      <c r="A162" s="1" t="s">
        <v>2010</v>
      </c>
    </row>
    <row r="163" spans="1:8" ht="17" thickBot="1" x14ac:dyDescent="0.25"/>
    <row r="164" spans="1:8" ht="17" thickBot="1" x14ac:dyDescent="0.25">
      <c r="A164" s="337" t="s">
        <v>1856</v>
      </c>
      <c r="B164" s="338"/>
      <c r="C164" s="338"/>
      <c r="D164" s="338"/>
      <c r="E164" s="339"/>
    </row>
    <row r="167" spans="1:8" ht="17" thickBot="1" x14ac:dyDescent="0.25"/>
    <row r="168" spans="1:8" x14ac:dyDescent="0.2">
      <c r="B168" s="211" t="s">
        <v>2011</v>
      </c>
      <c r="D168" s="324" t="s">
        <v>2012</v>
      </c>
      <c r="E168" s="326"/>
    </row>
    <row r="169" spans="1:8" ht="17" thickBot="1" x14ac:dyDescent="0.25">
      <c r="B169" s="211" t="s">
        <v>2013</v>
      </c>
      <c r="D169" s="330" t="s">
        <v>2014</v>
      </c>
      <c r="E169" s="331"/>
    </row>
    <row r="170" spans="1:8" x14ac:dyDescent="0.2">
      <c r="A170" s="4"/>
      <c r="B170" s="189" t="s">
        <v>2015</v>
      </c>
      <c r="C170" s="6"/>
      <c r="D170" s="330" t="s">
        <v>2016</v>
      </c>
      <c r="E170" s="331"/>
    </row>
    <row r="171" spans="1:8" x14ac:dyDescent="0.2">
      <c r="A171" s="7"/>
      <c r="B171" s="19" t="s">
        <v>2017</v>
      </c>
      <c r="C171" s="9"/>
      <c r="D171" s="330" t="s">
        <v>2018</v>
      </c>
      <c r="E171" s="331"/>
    </row>
    <row r="172" spans="1:8" ht="17" thickBot="1" x14ac:dyDescent="0.25">
      <c r="A172" s="10"/>
      <c r="B172" s="187" t="s">
        <v>2019</v>
      </c>
      <c r="C172" s="12"/>
      <c r="D172" s="332" t="s">
        <v>2020</v>
      </c>
      <c r="E172" s="333"/>
    </row>
    <row r="174" spans="1:8" x14ac:dyDescent="0.2">
      <c r="A174" s="285" t="s">
        <v>436</v>
      </c>
      <c r="B174" s="75"/>
      <c r="C174" s="75"/>
      <c r="D174" s="75"/>
      <c r="E174" s="75"/>
      <c r="F174" s="75"/>
      <c r="G174" s="75"/>
      <c r="H174" s="286"/>
    </row>
    <row r="175" spans="1:8" x14ac:dyDescent="0.2">
      <c r="A175" s="1" t="s">
        <v>2021</v>
      </c>
    </row>
    <row r="176" spans="1:8" x14ac:dyDescent="0.2">
      <c r="A176" s="1" t="s">
        <v>2022</v>
      </c>
    </row>
    <row r="178" spans="1:8" x14ac:dyDescent="0.2">
      <c r="A178" s="1" t="s">
        <v>2023</v>
      </c>
    </row>
    <row r="179" spans="1:8" x14ac:dyDescent="0.2">
      <c r="A179" s="1" t="s">
        <v>2024</v>
      </c>
    </row>
    <row r="181" spans="1:8" x14ac:dyDescent="0.2">
      <c r="A181" s="285" t="s">
        <v>2025</v>
      </c>
      <c r="B181" s="75"/>
      <c r="C181" s="75"/>
      <c r="D181" s="75"/>
      <c r="E181" s="75"/>
      <c r="F181" s="75"/>
      <c r="G181" s="75"/>
      <c r="H181" s="286"/>
    </row>
    <row r="182" spans="1:8" x14ac:dyDescent="0.2">
      <c r="A182" s="1" t="s">
        <v>2026</v>
      </c>
    </row>
    <row r="183" spans="1:8" x14ac:dyDescent="0.2">
      <c r="A183" s="1" t="s">
        <v>2027</v>
      </c>
    </row>
    <row r="184" spans="1:8" x14ac:dyDescent="0.2">
      <c r="A184" s="1" t="s">
        <v>2028</v>
      </c>
    </row>
    <row r="186" spans="1:8" x14ac:dyDescent="0.2">
      <c r="A186" s="285" t="s">
        <v>481</v>
      </c>
      <c r="B186" s="75"/>
      <c r="C186" s="75"/>
      <c r="D186" s="75"/>
      <c r="E186" s="75"/>
      <c r="F186" s="75"/>
      <c r="G186" s="75"/>
      <c r="H186" s="286"/>
    </row>
    <row r="187" spans="1:8" x14ac:dyDescent="0.2">
      <c r="A187" s="1" t="s">
        <v>2029</v>
      </c>
    </row>
    <row r="188" spans="1:8" x14ac:dyDescent="0.2">
      <c r="A188" s="1" t="s">
        <v>2030</v>
      </c>
    </row>
    <row r="189" spans="1:8" x14ac:dyDescent="0.2">
      <c r="A189" s="1" t="s">
        <v>2031</v>
      </c>
    </row>
    <row r="190" spans="1:8" x14ac:dyDescent="0.2">
      <c r="A190" s="1" t="s">
        <v>2032</v>
      </c>
    </row>
    <row r="192" spans="1:8" x14ac:dyDescent="0.2">
      <c r="A192" s="1" t="s">
        <v>2033</v>
      </c>
    </row>
    <row r="193" spans="1:8" x14ac:dyDescent="0.2">
      <c r="A193" s="1" t="s">
        <v>2034</v>
      </c>
    </row>
    <row r="195" spans="1:8" x14ac:dyDescent="0.2">
      <c r="A195" s="1" t="s">
        <v>2035</v>
      </c>
    </row>
    <row r="196" spans="1:8" x14ac:dyDescent="0.2">
      <c r="A196" s="1" t="s">
        <v>2036</v>
      </c>
    </row>
    <row r="197" spans="1:8" x14ac:dyDescent="0.2">
      <c r="A197" s="1" t="s">
        <v>2037</v>
      </c>
    </row>
    <row r="198" spans="1:8" x14ac:dyDescent="0.2">
      <c r="A198" s="1" t="s">
        <v>2038</v>
      </c>
    </row>
    <row r="199" spans="1:8" x14ac:dyDescent="0.2">
      <c r="A199" s="1" t="s">
        <v>2039</v>
      </c>
    </row>
    <row r="200" spans="1:8" x14ac:dyDescent="0.2">
      <c r="A200" s="1" t="s">
        <v>2040</v>
      </c>
    </row>
    <row r="202" spans="1:8" x14ac:dyDescent="0.2">
      <c r="A202" s="2" t="s">
        <v>2041</v>
      </c>
    </row>
    <row r="203" spans="1:8" ht="17" thickBot="1" x14ac:dyDescent="0.25"/>
    <row r="204" spans="1:8" x14ac:dyDescent="0.2">
      <c r="A204" s="4" t="s">
        <v>2042</v>
      </c>
      <c r="B204" s="5"/>
      <c r="C204" s="5"/>
      <c r="D204" s="5"/>
      <c r="E204" s="5"/>
      <c r="F204" s="5"/>
      <c r="G204" s="5"/>
      <c r="H204" s="6"/>
    </row>
    <row r="205" spans="1:8" x14ac:dyDescent="0.2">
      <c r="A205" s="7" t="s">
        <v>2043</v>
      </c>
      <c r="H205" s="9"/>
    </row>
    <row r="206" spans="1:8" x14ac:dyDescent="0.2">
      <c r="A206" s="7" t="s">
        <v>2044</v>
      </c>
      <c r="H206" s="9"/>
    </row>
    <row r="207" spans="1:8" ht="17" thickBot="1" x14ac:dyDescent="0.25">
      <c r="A207" s="10" t="s">
        <v>2045</v>
      </c>
      <c r="B207" s="11"/>
      <c r="C207" s="11"/>
      <c r="D207" s="11"/>
      <c r="E207" s="11"/>
      <c r="F207" s="11"/>
      <c r="G207" s="11"/>
      <c r="H207" s="12"/>
    </row>
  </sheetData>
  <mergeCells count="10">
    <mergeCell ref="D169:E169"/>
    <mergeCell ref="D170:E170"/>
    <mergeCell ref="D171:E171"/>
    <mergeCell ref="D172:E172"/>
    <mergeCell ref="B112:C112"/>
    <mergeCell ref="E112:F112"/>
    <mergeCell ref="A130:D130"/>
    <mergeCell ref="A152:E152"/>
    <mergeCell ref="A164:E164"/>
    <mergeCell ref="D168:E168"/>
  </mergeCells>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39DB6F-C2FF-3346-B30C-D43076497C55}">
  <dimension ref="A1:V104"/>
  <sheetViews>
    <sheetView rightToLeft="1" topLeftCell="A73" zoomScale="110" zoomScaleNormal="110" workbookViewId="0">
      <selection activeCell="E93" sqref="E93"/>
    </sheetView>
  </sheetViews>
  <sheetFormatPr baseColWidth="10" defaultRowHeight="16" x14ac:dyDescent="0.2"/>
  <cols>
    <col min="1" max="9" width="10.83203125" style="1"/>
    <col min="10" max="10" width="11.83203125" style="1" customWidth="1"/>
    <col min="11" max="16384" width="10.83203125" style="1"/>
  </cols>
  <sheetData>
    <row r="1" spans="1:22" x14ac:dyDescent="0.2">
      <c r="A1" s="41" t="s">
        <v>2049</v>
      </c>
      <c r="B1" s="41"/>
      <c r="C1" s="41"/>
      <c r="D1" s="41"/>
      <c r="E1" s="41"/>
      <c r="F1" s="41"/>
      <c r="G1" s="41"/>
      <c r="H1" s="301">
        <v>45827</v>
      </c>
    </row>
    <row r="3" spans="1:22" x14ac:dyDescent="0.2">
      <c r="A3" s="2" t="s">
        <v>2050</v>
      </c>
    </row>
    <row r="5" spans="1:22" x14ac:dyDescent="0.2">
      <c r="A5" s="1" t="s">
        <v>2051</v>
      </c>
    </row>
    <row r="6" spans="1:22" x14ac:dyDescent="0.2">
      <c r="A6" s="1" t="s">
        <v>2052</v>
      </c>
    </row>
    <row r="7" spans="1:22" x14ac:dyDescent="0.2">
      <c r="A7" s="1" t="s">
        <v>2053</v>
      </c>
    </row>
    <row r="9" spans="1:22" x14ac:dyDescent="0.2">
      <c r="A9" s="1" t="s">
        <v>2054</v>
      </c>
    </row>
    <row r="10" spans="1:22" x14ac:dyDescent="0.2">
      <c r="A10" s="1" t="s">
        <v>2055</v>
      </c>
    </row>
    <row r="12" spans="1:22" x14ac:dyDescent="0.2">
      <c r="A12" s="1" t="s">
        <v>2056</v>
      </c>
    </row>
    <row r="13" spans="1:22" x14ac:dyDescent="0.2">
      <c r="A13" s="1" t="s">
        <v>2057</v>
      </c>
    </row>
    <row r="15" spans="1:22" ht="23" x14ac:dyDescent="0.25">
      <c r="A15" s="340" t="s">
        <v>2173</v>
      </c>
      <c r="B15" s="340"/>
      <c r="C15" s="340"/>
      <c r="D15" s="340"/>
      <c r="E15" s="340"/>
      <c r="F15" s="340"/>
      <c r="G15" s="340"/>
      <c r="H15" s="340"/>
      <c r="I15" s="340"/>
      <c r="J15" s="340"/>
      <c r="K15" s="340"/>
      <c r="L15" s="340"/>
      <c r="M15" s="340"/>
      <c r="N15" s="340"/>
      <c r="O15" s="340"/>
      <c r="P15" s="340"/>
      <c r="Q15" s="340"/>
      <c r="R15" s="340"/>
      <c r="S15" s="340"/>
      <c r="T15" s="340"/>
      <c r="U15" s="340"/>
      <c r="V15" s="340"/>
    </row>
    <row r="17" spans="1:22" x14ac:dyDescent="0.2">
      <c r="A17" s="40" t="s">
        <v>2058</v>
      </c>
      <c r="B17" s="40" t="s">
        <v>2059</v>
      </c>
      <c r="C17" s="40" t="s">
        <v>2060</v>
      </c>
      <c r="D17" s="40"/>
      <c r="E17" s="40"/>
      <c r="F17" s="40"/>
      <c r="G17" s="19"/>
      <c r="H17" s="40" t="s">
        <v>2058</v>
      </c>
      <c r="I17" s="40" t="s">
        <v>2059</v>
      </c>
      <c r="J17" s="40" t="s">
        <v>2060</v>
      </c>
      <c r="K17" s="40"/>
      <c r="L17" s="40"/>
      <c r="M17" s="40"/>
      <c r="O17" s="40" t="s">
        <v>2058</v>
      </c>
      <c r="P17" s="40" t="s">
        <v>2059</v>
      </c>
      <c r="Q17" s="304" t="s">
        <v>2060</v>
      </c>
      <c r="R17" s="40"/>
      <c r="S17" s="40"/>
      <c r="T17" s="40"/>
      <c r="U17" s="94"/>
      <c r="V17" s="94"/>
    </row>
    <row r="18" spans="1:22" ht="16" customHeight="1" x14ac:dyDescent="0.2">
      <c r="A18" s="342" t="s">
        <v>2061</v>
      </c>
      <c r="B18" s="19">
        <v>1</v>
      </c>
      <c r="C18" s="1" t="s">
        <v>2062</v>
      </c>
      <c r="H18" s="344" t="s">
        <v>2102</v>
      </c>
      <c r="I18" s="19">
        <v>6</v>
      </c>
      <c r="J18" s="1" t="s">
        <v>2103</v>
      </c>
      <c r="O18" s="302" t="s">
        <v>2142</v>
      </c>
      <c r="P18" s="19" t="s">
        <v>2144</v>
      </c>
      <c r="Q18" s="1" t="s">
        <v>2145</v>
      </c>
    </row>
    <row r="19" spans="1:22" x14ac:dyDescent="0.2">
      <c r="A19" s="342"/>
      <c r="B19" s="19"/>
      <c r="C19" s="1" t="s">
        <v>2063</v>
      </c>
      <c r="H19" s="344"/>
      <c r="I19" s="19"/>
      <c r="J19" s="1" t="s">
        <v>2104</v>
      </c>
      <c r="O19" s="303"/>
      <c r="P19" s="19"/>
      <c r="Q19" s="1" t="s">
        <v>2146</v>
      </c>
    </row>
    <row r="20" spans="1:22" x14ac:dyDescent="0.2">
      <c r="A20" s="342"/>
      <c r="B20" s="19"/>
      <c r="C20" s="1" t="s">
        <v>2064</v>
      </c>
      <c r="H20" s="344"/>
      <c r="I20" s="19"/>
      <c r="J20" s="1" t="s">
        <v>2105</v>
      </c>
      <c r="O20" s="303"/>
      <c r="P20" s="19"/>
      <c r="Q20" s="1" t="s">
        <v>2147</v>
      </c>
    </row>
    <row r="21" spans="1:22" x14ac:dyDescent="0.2">
      <c r="A21" s="342"/>
      <c r="B21" s="19"/>
      <c r="C21" s="1" t="s">
        <v>2065</v>
      </c>
      <c r="H21" s="344"/>
      <c r="I21" s="19"/>
      <c r="J21" s="1" t="s">
        <v>2106</v>
      </c>
      <c r="O21" s="303"/>
      <c r="P21" s="19"/>
      <c r="Q21" s="1" t="s">
        <v>2148</v>
      </c>
    </row>
    <row r="22" spans="1:22" x14ac:dyDescent="0.2">
      <c r="A22" s="342"/>
      <c r="B22" s="19"/>
      <c r="C22" s="1" t="s">
        <v>2066</v>
      </c>
      <c r="H22" s="344"/>
      <c r="I22" s="19"/>
      <c r="J22" s="1" t="s">
        <v>2107</v>
      </c>
      <c r="O22" s="303"/>
      <c r="P22" s="19"/>
      <c r="Q22" s="1" t="s">
        <v>2149</v>
      </c>
    </row>
    <row r="23" spans="1:22" ht="17" x14ac:dyDescent="0.2">
      <c r="A23" s="342"/>
      <c r="B23" s="19"/>
      <c r="C23" s="1" t="s">
        <v>2067</v>
      </c>
      <c r="H23" s="344"/>
      <c r="I23" s="19"/>
      <c r="J23" s="1" t="s">
        <v>2108</v>
      </c>
      <c r="O23" s="302" t="s">
        <v>1804</v>
      </c>
      <c r="P23" s="19" t="s">
        <v>2150</v>
      </c>
      <c r="Q23" s="1" t="s">
        <v>2151</v>
      </c>
    </row>
    <row r="24" spans="1:22" x14ac:dyDescent="0.2">
      <c r="A24" s="342"/>
      <c r="B24" s="19"/>
      <c r="C24" s="1" t="s">
        <v>2068</v>
      </c>
      <c r="H24" s="344"/>
      <c r="I24" s="19"/>
      <c r="J24" s="1" t="s">
        <v>2109</v>
      </c>
      <c r="O24" s="303"/>
      <c r="P24" s="19"/>
      <c r="Q24" s="1" t="s">
        <v>2152</v>
      </c>
    </row>
    <row r="25" spans="1:22" x14ac:dyDescent="0.2">
      <c r="A25" s="342"/>
      <c r="B25" s="19"/>
      <c r="C25" s="1" t="s">
        <v>2069</v>
      </c>
      <c r="H25" s="344"/>
      <c r="I25" s="19"/>
      <c r="J25" s="1" t="s">
        <v>2110</v>
      </c>
      <c r="O25" s="303"/>
      <c r="P25" s="19"/>
      <c r="Q25" s="1" t="s">
        <v>2153</v>
      </c>
    </row>
    <row r="26" spans="1:22" x14ac:dyDescent="0.2">
      <c r="A26" s="342"/>
      <c r="B26" s="19"/>
      <c r="C26" s="1" t="s">
        <v>2070</v>
      </c>
      <c r="H26" s="344"/>
      <c r="I26" s="19"/>
      <c r="J26" s="1" t="s">
        <v>2111</v>
      </c>
      <c r="O26" s="303"/>
      <c r="P26" s="19"/>
      <c r="Q26" s="1" t="s">
        <v>2154</v>
      </c>
    </row>
    <row r="27" spans="1:22" x14ac:dyDescent="0.2">
      <c r="A27" s="342"/>
      <c r="B27" s="19"/>
      <c r="C27" s="1" t="s">
        <v>2071</v>
      </c>
      <c r="H27" s="344"/>
      <c r="I27" s="19" t="s">
        <v>2132</v>
      </c>
      <c r="J27" s="1" t="s">
        <v>2123</v>
      </c>
      <c r="O27" s="303"/>
      <c r="P27" s="19"/>
      <c r="Q27" s="1" t="s">
        <v>2155</v>
      </c>
    </row>
    <row r="28" spans="1:22" x14ac:dyDescent="0.2">
      <c r="A28" s="342"/>
      <c r="B28" s="19" t="s">
        <v>2086</v>
      </c>
      <c r="C28" s="1" t="s">
        <v>2072</v>
      </c>
      <c r="H28" s="344"/>
      <c r="I28" s="19" t="s">
        <v>2133</v>
      </c>
      <c r="J28" s="1" t="s">
        <v>2124</v>
      </c>
      <c r="O28" s="303"/>
      <c r="P28" s="19"/>
      <c r="Q28" s="1" t="s">
        <v>2156</v>
      </c>
    </row>
    <row r="29" spans="1:22" x14ac:dyDescent="0.2">
      <c r="A29" s="342"/>
      <c r="B29" s="19"/>
      <c r="C29" s="1" t="s">
        <v>2073</v>
      </c>
      <c r="H29" s="344"/>
      <c r="J29" s="1" t="s">
        <v>2125</v>
      </c>
      <c r="O29" s="303"/>
      <c r="Q29" s="1" t="s">
        <v>2157</v>
      </c>
    </row>
    <row r="30" spans="1:22" x14ac:dyDescent="0.2">
      <c r="A30" s="342"/>
      <c r="B30" s="19"/>
      <c r="C30" s="1" t="s">
        <v>2074</v>
      </c>
      <c r="H30" s="344"/>
      <c r="J30" s="1" t="s">
        <v>2126</v>
      </c>
      <c r="O30" s="303"/>
      <c r="Q30" s="1" t="s">
        <v>2160</v>
      </c>
    </row>
    <row r="31" spans="1:22" x14ac:dyDescent="0.2">
      <c r="A31" s="342"/>
      <c r="B31" s="19"/>
      <c r="C31" s="1" t="s">
        <v>2075</v>
      </c>
      <c r="H31" s="344"/>
      <c r="J31" s="1" t="s">
        <v>2127</v>
      </c>
      <c r="O31" s="303"/>
      <c r="Q31" s="1" t="s">
        <v>2158</v>
      </c>
    </row>
    <row r="32" spans="1:22" x14ac:dyDescent="0.2">
      <c r="A32" s="342"/>
      <c r="B32" s="19"/>
      <c r="C32" s="1" t="s">
        <v>2076</v>
      </c>
      <c r="H32" s="344"/>
      <c r="J32" s="1" t="s">
        <v>2128</v>
      </c>
      <c r="O32" s="303"/>
      <c r="Q32" s="1" t="s">
        <v>2159</v>
      </c>
    </row>
    <row r="33" spans="1:17" x14ac:dyDescent="0.2">
      <c r="A33" s="342"/>
      <c r="B33" s="19"/>
      <c r="C33" s="1" t="s">
        <v>2077</v>
      </c>
      <c r="H33" s="344"/>
      <c r="J33" s="1" t="s">
        <v>2129</v>
      </c>
      <c r="O33" s="303"/>
      <c r="Q33" s="1" t="s">
        <v>2161</v>
      </c>
    </row>
    <row r="34" spans="1:17" x14ac:dyDescent="0.2">
      <c r="A34" s="342"/>
      <c r="B34" s="19"/>
      <c r="C34" s="1" t="s">
        <v>2078</v>
      </c>
      <c r="H34" s="344"/>
      <c r="J34" s="1" t="s">
        <v>2130</v>
      </c>
      <c r="O34" s="303"/>
      <c r="Q34" s="1" t="s">
        <v>2162</v>
      </c>
    </row>
    <row r="35" spans="1:17" x14ac:dyDescent="0.2">
      <c r="A35" s="342"/>
      <c r="C35" s="1" t="s">
        <v>2079</v>
      </c>
      <c r="H35" s="344"/>
      <c r="J35" s="1" t="s">
        <v>2131</v>
      </c>
      <c r="O35" s="303"/>
      <c r="Q35" s="1" t="s">
        <v>2163</v>
      </c>
    </row>
    <row r="36" spans="1:17" x14ac:dyDescent="0.2">
      <c r="A36" s="342"/>
      <c r="C36" s="1" t="s">
        <v>2080</v>
      </c>
      <c r="H36" s="344"/>
      <c r="I36" s="19">
        <v>7</v>
      </c>
      <c r="J36" s="1" t="s">
        <v>2113</v>
      </c>
      <c r="O36" s="343" t="s">
        <v>2164</v>
      </c>
      <c r="P36" s="19" t="s">
        <v>2165</v>
      </c>
      <c r="Q36" s="1" t="s">
        <v>2166</v>
      </c>
    </row>
    <row r="37" spans="1:17" x14ac:dyDescent="0.2">
      <c r="A37" s="342"/>
      <c r="C37" s="1" t="s">
        <v>2081</v>
      </c>
      <c r="H37" s="344"/>
      <c r="J37" s="1" t="s">
        <v>2114</v>
      </c>
      <c r="O37" s="343"/>
      <c r="Q37" s="1" t="s">
        <v>2167</v>
      </c>
    </row>
    <row r="38" spans="1:17" x14ac:dyDescent="0.2">
      <c r="A38" s="342"/>
      <c r="C38" s="1" t="s">
        <v>2082</v>
      </c>
      <c r="H38" s="344"/>
      <c r="I38" s="19"/>
      <c r="J38" s="1" t="s">
        <v>2115</v>
      </c>
      <c r="O38" s="343"/>
      <c r="P38" s="19"/>
      <c r="Q38" s="1" t="s">
        <v>2170</v>
      </c>
    </row>
    <row r="39" spans="1:17" x14ac:dyDescent="0.2">
      <c r="A39" s="342"/>
      <c r="C39" s="1" t="s">
        <v>2083</v>
      </c>
      <c r="H39" s="344"/>
      <c r="I39" s="19"/>
      <c r="J39" s="1" t="s">
        <v>2116</v>
      </c>
      <c r="O39" s="343"/>
      <c r="P39" s="19"/>
      <c r="Q39" s="1" t="s">
        <v>2168</v>
      </c>
    </row>
    <row r="40" spans="1:17" x14ac:dyDescent="0.2">
      <c r="A40" s="342"/>
      <c r="C40" s="1" t="s">
        <v>2084</v>
      </c>
      <c r="H40" s="344"/>
      <c r="I40" s="19"/>
      <c r="J40" s="1" t="s">
        <v>2117</v>
      </c>
      <c r="O40" s="303"/>
      <c r="P40" s="19"/>
      <c r="Q40" s="1" t="s">
        <v>2169</v>
      </c>
    </row>
    <row r="41" spans="1:17" x14ac:dyDescent="0.2">
      <c r="A41" s="342"/>
      <c r="C41" s="1" t="s">
        <v>2085</v>
      </c>
      <c r="H41" s="344"/>
      <c r="I41" s="19"/>
      <c r="J41" s="1" t="s">
        <v>2118</v>
      </c>
      <c r="O41" s="303"/>
      <c r="P41" s="19"/>
      <c r="Q41" s="1" t="s">
        <v>2171</v>
      </c>
    </row>
    <row r="42" spans="1:17" x14ac:dyDescent="0.2">
      <c r="A42" s="342"/>
      <c r="B42" s="19">
        <v>3</v>
      </c>
      <c r="C42" s="1" t="s">
        <v>2087</v>
      </c>
      <c r="H42" s="344"/>
      <c r="I42" s="19"/>
      <c r="J42" s="1" t="s">
        <v>2119</v>
      </c>
      <c r="O42" s="303"/>
      <c r="P42" s="19"/>
      <c r="Q42" s="1" t="s">
        <v>2172</v>
      </c>
    </row>
    <row r="43" spans="1:17" x14ac:dyDescent="0.2">
      <c r="A43" s="342"/>
      <c r="C43" s="1" t="s">
        <v>2088</v>
      </c>
      <c r="H43" s="344"/>
      <c r="I43" s="19"/>
      <c r="J43" s="1" t="s">
        <v>2120</v>
      </c>
      <c r="O43" s="19"/>
      <c r="P43" s="19"/>
    </row>
    <row r="44" spans="1:17" x14ac:dyDescent="0.2">
      <c r="A44" s="342"/>
      <c r="C44" s="1" t="s">
        <v>2089</v>
      </c>
      <c r="H44" s="344"/>
      <c r="J44" s="1" t="s">
        <v>2121</v>
      </c>
      <c r="O44" s="19"/>
    </row>
    <row r="45" spans="1:17" x14ac:dyDescent="0.2">
      <c r="A45" s="342"/>
      <c r="C45" s="1" t="s">
        <v>2090</v>
      </c>
      <c r="H45" s="344"/>
      <c r="J45" s="2" t="s">
        <v>2122</v>
      </c>
      <c r="O45" s="19"/>
      <c r="Q45" s="2"/>
    </row>
    <row r="46" spans="1:17" x14ac:dyDescent="0.2">
      <c r="A46" s="342"/>
      <c r="B46" s="19">
        <v>4</v>
      </c>
      <c r="C46" s="1" t="s">
        <v>2091</v>
      </c>
      <c r="H46" s="344"/>
      <c r="I46" s="19" t="s">
        <v>2140</v>
      </c>
      <c r="J46" s="1" t="s">
        <v>2134</v>
      </c>
      <c r="O46" s="19"/>
      <c r="P46" s="19"/>
    </row>
    <row r="47" spans="1:17" x14ac:dyDescent="0.2">
      <c r="A47" s="342"/>
      <c r="C47" s="1" t="s">
        <v>2092</v>
      </c>
      <c r="H47" s="344"/>
      <c r="I47" s="1" t="s">
        <v>2141</v>
      </c>
      <c r="J47" s="1" t="s">
        <v>2135</v>
      </c>
      <c r="O47" s="19"/>
    </row>
    <row r="48" spans="1:17" x14ac:dyDescent="0.2">
      <c r="A48" s="342"/>
      <c r="C48" s="1" t="s">
        <v>2093</v>
      </c>
      <c r="H48" s="344"/>
      <c r="J48" s="1" t="s">
        <v>2136</v>
      </c>
      <c r="O48" s="19"/>
    </row>
    <row r="49" spans="1:22" x14ac:dyDescent="0.2">
      <c r="A49" s="342"/>
      <c r="C49" s="1" t="s">
        <v>2094</v>
      </c>
      <c r="H49" s="344"/>
      <c r="J49" s="1" t="s">
        <v>2137</v>
      </c>
      <c r="O49" s="19"/>
    </row>
    <row r="50" spans="1:22" x14ac:dyDescent="0.2">
      <c r="A50" s="342"/>
      <c r="C50" s="1" t="s">
        <v>2095</v>
      </c>
      <c r="H50" s="344"/>
      <c r="J50" s="1" t="s">
        <v>2138</v>
      </c>
      <c r="O50" s="19"/>
    </row>
    <row r="51" spans="1:22" x14ac:dyDescent="0.2">
      <c r="A51" s="342"/>
      <c r="C51" s="1" t="s">
        <v>2112</v>
      </c>
      <c r="H51" s="344"/>
      <c r="J51" s="1" t="s">
        <v>2139</v>
      </c>
      <c r="O51" s="19"/>
    </row>
    <row r="52" spans="1:22" x14ac:dyDescent="0.2">
      <c r="A52" s="342"/>
      <c r="C52" s="1" t="s">
        <v>2096</v>
      </c>
      <c r="O52" s="19"/>
    </row>
    <row r="53" spans="1:22" x14ac:dyDescent="0.2">
      <c r="A53" s="342"/>
      <c r="C53" s="1" t="s">
        <v>2097</v>
      </c>
      <c r="O53" s="19"/>
    </row>
    <row r="54" spans="1:22" x14ac:dyDescent="0.2">
      <c r="A54" s="342"/>
      <c r="B54" s="19">
        <v>5</v>
      </c>
      <c r="C54" s="1" t="s">
        <v>2098</v>
      </c>
      <c r="I54" s="19"/>
      <c r="O54" s="19"/>
      <c r="P54" s="19"/>
    </row>
    <row r="55" spans="1:22" x14ac:dyDescent="0.2">
      <c r="A55" s="342"/>
      <c r="C55" s="1" t="s">
        <v>2099</v>
      </c>
      <c r="O55" s="19"/>
    </row>
    <row r="56" spans="1:22" x14ac:dyDescent="0.2">
      <c r="A56" s="342"/>
      <c r="C56" s="1" t="s">
        <v>2100</v>
      </c>
      <c r="O56" s="19"/>
    </row>
    <row r="57" spans="1:22" x14ac:dyDescent="0.2">
      <c r="A57" s="342"/>
      <c r="C57" s="1" t="s">
        <v>2101</v>
      </c>
      <c r="O57" s="19"/>
    </row>
    <row r="59" spans="1:22" ht="23" x14ac:dyDescent="0.25">
      <c r="A59" s="340" t="s">
        <v>2173</v>
      </c>
      <c r="B59" s="340"/>
      <c r="C59" s="340"/>
      <c r="D59" s="340"/>
      <c r="E59" s="340"/>
      <c r="F59" s="340"/>
      <c r="G59" s="340"/>
      <c r="H59" s="340"/>
      <c r="I59" s="340"/>
      <c r="J59" s="340"/>
      <c r="K59" s="340"/>
      <c r="L59" s="340"/>
      <c r="M59" s="340"/>
      <c r="N59" s="340"/>
      <c r="O59" s="340"/>
      <c r="P59" s="340"/>
      <c r="Q59" s="340"/>
      <c r="R59" s="340"/>
      <c r="S59" s="340"/>
      <c r="T59" s="340"/>
      <c r="U59" s="340"/>
      <c r="V59" s="340"/>
    </row>
    <row r="61" spans="1:22" x14ac:dyDescent="0.2">
      <c r="A61" s="1" t="s">
        <v>2174</v>
      </c>
      <c r="K61" s="2" t="s">
        <v>2189</v>
      </c>
    </row>
    <row r="63" spans="1:22" x14ac:dyDescent="0.2">
      <c r="A63" s="1" t="s">
        <v>2175</v>
      </c>
    </row>
    <row r="65" spans="1:10" x14ac:dyDescent="0.2">
      <c r="A65" s="1" t="s">
        <v>2176</v>
      </c>
    </row>
    <row r="67" spans="1:10" x14ac:dyDescent="0.2">
      <c r="A67" s="1" t="s">
        <v>2177</v>
      </c>
    </row>
    <row r="69" spans="1:10" x14ac:dyDescent="0.2">
      <c r="A69" s="1" t="s">
        <v>2183</v>
      </c>
    </row>
    <row r="71" spans="1:10" x14ac:dyDescent="0.2">
      <c r="A71" s="2" t="s">
        <v>2178</v>
      </c>
    </row>
    <row r="72" spans="1:10" x14ac:dyDescent="0.2">
      <c r="A72" s="1" t="s">
        <v>2179</v>
      </c>
    </row>
    <row r="73" spans="1:10" x14ac:dyDescent="0.2">
      <c r="H73" s="310" t="s">
        <v>2182</v>
      </c>
      <c r="I73" s="310"/>
      <c r="J73" s="310"/>
    </row>
    <row r="74" spans="1:10" x14ac:dyDescent="0.2">
      <c r="A74" s="1" t="s">
        <v>2180</v>
      </c>
    </row>
    <row r="75" spans="1:10" x14ac:dyDescent="0.2">
      <c r="A75" s="1" t="s">
        <v>2181</v>
      </c>
    </row>
    <row r="77" spans="1:10" x14ac:dyDescent="0.2">
      <c r="A77" s="2" t="s">
        <v>2184</v>
      </c>
    </row>
    <row r="78" spans="1:10" x14ac:dyDescent="0.2">
      <c r="A78" s="1" t="s">
        <v>2185</v>
      </c>
    </row>
    <row r="79" spans="1:10" x14ac:dyDescent="0.2">
      <c r="A79" s="1" t="s">
        <v>2186</v>
      </c>
    </row>
    <row r="80" spans="1:10" x14ac:dyDescent="0.2">
      <c r="A80" s="1" t="s">
        <v>2187</v>
      </c>
    </row>
    <row r="81" spans="1:11" x14ac:dyDescent="0.2">
      <c r="A81" s="1" t="s">
        <v>2188</v>
      </c>
    </row>
    <row r="83" spans="1:11" x14ac:dyDescent="0.2">
      <c r="A83" s="341" t="s">
        <v>2190</v>
      </c>
      <c r="B83" s="341"/>
      <c r="C83" s="341"/>
      <c r="D83" s="341"/>
      <c r="E83" s="341"/>
      <c r="F83" s="341"/>
      <c r="G83" s="341"/>
      <c r="H83" s="341"/>
    </row>
    <row r="84" spans="1:11" x14ac:dyDescent="0.2">
      <c r="A84" s="19"/>
    </row>
    <row r="85" spans="1:11" x14ac:dyDescent="0.2">
      <c r="A85" s="254" t="s">
        <v>2191</v>
      </c>
      <c r="B85" s="306"/>
      <c r="C85" s="306"/>
      <c r="D85" s="306"/>
      <c r="E85" s="306"/>
      <c r="G85" s="254" t="s">
        <v>2193</v>
      </c>
      <c r="H85" s="306"/>
      <c r="I85" s="306"/>
      <c r="J85" s="306"/>
      <c r="K85" s="306"/>
    </row>
    <row r="86" spans="1:11" x14ac:dyDescent="0.2">
      <c r="A86" s="40" t="s">
        <v>2192</v>
      </c>
      <c r="B86" s="94" t="s">
        <v>2211</v>
      </c>
      <c r="C86" s="94"/>
      <c r="D86" s="94"/>
      <c r="E86" s="94" t="s">
        <v>2194</v>
      </c>
      <c r="G86" s="40" t="s">
        <v>2192</v>
      </c>
      <c r="H86" s="94" t="s">
        <v>2058</v>
      </c>
      <c r="I86" s="94"/>
      <c r="J86" s="94"/>
      <c r="K86" s="94" t="s">
        <v>2194</v>
      </c>
    </row>
    <row r="87" spans="1:11" x14ac:dyDescent="0.2">
      <c r="A87" s="19">
        <v>1</v>
      </c>
      <c r="B87" s="1" t="s">
        <v>2195</v>
      </c>
      <c r="E87" s="19">
        <v>15</v>
      </c>
      <c r="G87" s="19">
        <v>4</v>
      </c>
      <c r="H87" s="1" t="s">
        <v>2212</v>
      </c>
      <c r="K87" s="19">
        <v>30</v>
      </c>
    </row>
    <row r="88" spans="1:11" x14ac:dyDescent="0.2">
      <c r="A88" s="19"/>
      <c r="B88" s="1" t="s">
        <v>2196</v>
      </c>
      <c r="E88" s="19"/>
      <c r="G88" s="19"/>
      <c r="H88" s="1" t="s">
        <v>2213</v>
      </c>
    </row>
    <row r="89" spans="1:11" x14ac:dyDescent="0.2">
      <c r="A89" s="19"/>
      <c r="B89" s="1" t="s">
        <v>2197</v>
      </c>
      <c r="E89" s="19"/>
      <c r="G89" s="19"/>
      <c r="H89" s="1" t="s">
        <v>2214</v>
      </c>
    </row>
    <row r="90" spans="1:11" x14ac:dyDescent="0.2">
      <c r="A90" s="19"/>
      <c r="B90" s="1" t="s">
        <v>2198</v>
      </c>
      <c r="E90" s="19"/>
      <c r="G90" s="19"/>
      <c r="H90" s="1" t="s">
        <v>2215</v>
      </c>
    </row>
    <row r="91" spans="1:11" x14ac:dyDescent="0.2">
      <c r="A91" s="19"/>
      <c r="B91" s="1" t="s">
        <v>2199</v>
      </c>
      <c r="E91" s="19"/>
      <c r="G91" s="19"/>
      <c r="H91" s="1" t="s">
        <v>2216</v>
      </c>
    </row>
    <row r="92" spans="1:11" x14ac:dyDescent="0.2">
      <c r="A92" s="19"/>
      <c r="B92" s="1" t="s">
        <v>2200</v>
      </c>
      <c r="E92" s="19"/>
      <c r="G92" s="19"/>
      <c r="H92" s="1" t="s">
        <v>2217</v>
      </c>
    </row>
    <row r="93" spans="1:11" x14ac:dyDescent="0.2">
      <c r="A93" s="19">
        <v>2</v>
      </c>
      <c r="B93" s="1" t="s">
        <v>2201</v>
      </c>
      <c r="E93" s="19">
        <v>25</v>
      </c>
      <c r="G93" s="19">
        <v>5</v>
      </c>
      <c r="H93" s="1" t="s">
        <v>2218</v>
      </c>
      <c r="K93" s="19">
        <v>15</v>
      </c>
    </row>
    <row r="94" spans="1:11" x14ac:dyDescent="0.2">
      <c r="A94" s="19"/>
      <c r="B94" s="1" t="s">
        <v>2202</v>
      </c>
      <c r="E94" s="19"/>
      <c r="G94" s="19"/>
      <c r="H94" s="1" t="s">
        <v>2219</v>
      </c>
    </row>
    <row r="95" spans="1:11" x14ac:dyDescent="0.2">
      <c r="A95" s="19"/>
      <c r="B95" s="1" t="s">
        <v>2203</v>
      </c>
      <c r="E95" s="19"/>
      <c r="G95" s="19"/>
      <c r="H95" s="1" t="s">
        <v>2220</v>
      </c>
    </row>
    <row r="96" spans="1:11" x14ac:dyDescent="0.2">
      <c r="A96" s="19"/>
      <c r="B96" s="1" t="s">
        <v>2204</v>
      </c>
      <c r="E96" s="19"/>
      <c r="G96" s="19"/>
      <c r="H96" s="1" t="s">
        <v>2221</v>
      </c>
    </row>
    <row r="97" spans="1:11" x14ac:dyDescent="0.2">
      <c r="A97" s="19">
        <v>3</v>
      </c>
      <c r="B97" s="1" t="s">
        <v>2205</v>
      </c>
      <c r="E97" s="19">
        <v>10</v>
      </c>
      <c r="G97" s="19"/>
      <c r="H97" s="1" t="s">
        <v>2222</v>
      </c>
    </row>
    <row r="98" spans="1:11" x14ac:dyDescent="0.2">
      <c r="A98" s="19"/>
      <c r="B98" s="1" t="s">
        <v>2206</v>
      </c>
      <c r="E98" s="19"/>
      <c r="G98" s="19">
        <v>6</v>
      </c>
      <c r="H98" s="1" t="s">
        <v>2223</v>
      </c>
      <c r="K98" s="19">
        <v>5</v>
      </c>
    </row>
    <row r="99" spans="1:11" x14ac:dyDescent="0.2">
      <c r="A99" s="19"/>
      <c r="B99" s="1" t="s">
        <v>2207</v>
      </c>
      <c r="E99" s="19"/>
      <c r="G99" s="19"/>
      <c r="H99" s="1" t="s">
        <v>2224</v>
      </c>
    </row>
    <row r="100" spans="1:11" x14ac:dyDescent="0.2">
      <c r="A100" s="19"/>
      <c r="B100" s="1" t="s">
        <v>2208</v>
      </c>
      <c r="E100" s="19"/>
      <c r="G100" s="19"/>
      <c r="H100" s="1" t="s">
        <v>2225</v>
      </c>
    </row>
    <row r="101" spans="1:11" x14ac:dyDescent="0.2">
      <c r="A101" s="19"/>
      <c r="B101" s="1" t="s">
        <v>2209</v>
      </c>
      <c r="E101" s="19"/>
      <c r="H101" s="1" t="s">
        <v>2226</v>
      </c>
    </row>
    <row r="102" spans="1:11" x14ac:dyDescent="0.2">
      <c r="A102" s="19"/>
      <c r="B102" s="1" t="s">
        <v>2210</v>
      </c>
      <c r="E102" s="19"/>
      <c r="H102" s="1" t="s">
        <v>2227</v>
      </c>
    </row>
    <row r="103" spans="1:11" x14ac:dyDescent="0.2">
      <c r="H103" s="1" t="s">
        <v>2228</v>
      </c>
    </row>
    <row r="104" spans="1:11" x14ac:dyDescent="0.2">
      <c r="B104" s="305" t="s">
        <v>254</v>
      </c>
      <c r="C104" s="305"/>
      <c r="D104" s="305"/>
      <c r="E104" s="307">
        <f>SUM(E87:E103)</f>
        <v>50</v>
      </c>
      <c r="H104" s="305" t="s">
        <v>254</v>
      </c>
      <c r="I104" s="305"/>
      <c r="J104" s="305"/>
      <c r="K104" s="307">
        <f>SUM(K87:K103)</f>
        <v>50</v>
      </c>
    </row>
  </sheetData>
  <mergeCells count="7">
    <mergeCell ref="A15:V15"/>
    <mergeCell ref="A59:V59"/>
    <mergeCell ref="H73:J73"/>
    <mergeCell ref="A83:H83"/>
    <mergeCell ref="A18:A57"/>
    <mergeCell ref="O36:O39"/>
    <mergeCell ref="H18:H51"/>
  </mergeCells>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6389F7A-D43B-4F4B-BC30-99D8F5772A07}">
  <dimension ref="A1:U252"/>
  <sheetViews>
    <sheetView rightToLeft="1" tabSelected="1" zoomScaleNormal="100" workbookViewId="0">
      <selection activeCell="L24" sqref="L24"/>
    </sheetView>
  </sheetViews>
  <sheetFormatPr baseColWidth="10" defaultRowHeight="16" x14ac:dyDescent="0.2"/>
  <cols>
    <col min="1" max="16384" width="10.83203125" style="1"/>
  </cols>
  <sheetData>
    <row r="1" spans="1:11" x14ac:dyDescent="0.2">
      <c r="A1" s="310" t="s">
        <v>2229</v>
      </c>
      <c r="B1" s="310"/>
      <c r="C1" s="310"/>
      <c r="D1" s="310"/>
      <c r="E1" s="310"/>
      <c r="F1" s="310"/>
      <c r="G1" s="310"/>
      <c r="H1" s="310"/>
    </row>
    <row r="2" spans="1:11" ht="17" thickBot="1" x14ac:dyDescent="0.25"/>
    <row r="3" spans="1:11" x14ac:dyDescent="0.2">
      <c r="A3" s="4" t="s">
        <v>1081</v>
      </c>
      <c r="B3" s="5"/>
      <c r="C3" s="5"/>
      <c r="D3" s="5"/>
      <c r="E3" s="5"/>
      <c r="F3" s="5"/>
      <c r="G3" s="5"/>
      <c r="H3" s="6"/>
    </row>
    <row r="4" spans="1:11" x14ac:dyDescent="0.2">
      <c r="A4" s="7" t="s">
        <v>2230</v>
      </c>
      <c r="H4" s="9"/>
    </row>
    <row r="5" spans="1:11" x14ac:dyDescent="0.2">
      <c r="A5" s="7" t="s">
        <v>2231</v>
      </c>
      <c r="H5" s="9"/>
    </row>
    <row r="6" spans="1:11" ht="17" thickBot="1" x14ac:dyDescent="0.25">
      <c r="A6" s="10" t="s">
        <v>2232</v>
      </c>
      <c r="B6" s="11"/>
      <c r="C6" s="11"/>
      <c r="D6" s="11"/>
      <c r="E6" s="11"/>
      <c r="F6" s="11"/>
      <c r="G6" s="11"/>
      <c r="H6" s="12"/>
    </row>
    <row r="7" spans="1:11" x14ac:dyDescent="0.2">
      <c r="I7" s="1" t="s">
        <v>2233</v>
      </c>
    </row>
    <row r="8" spans="1:11" x14ac:dyDescent="0.2">
      <c r="A8" s="3" t="s">
        <v>2235</v>
      </c>
      <c r="B8" s="3"/>
      <c r="C8" s="3"/>
      <c r="D8" s="3"/>
      <c r="E8" s="3"/>
      <c r="F8" s="3"/>
      <c r="G8" s="41"/>
      <c r="I8" s="1" t="s">
        <v>2234</v>
      </c>
    </row>
    <row r="9" spans="1:11" x14ac:dyDescent="0.2">
      <c r="A9" s="3" t="s">
        <v>2236</v>
      </c>
      <c r="B9" s="3"/>
      <c r="C9" s="3"/>
      <c r="D9" s="3"/>
      <c r="E9" s="3"/>
      <c r="F9" s="3"/>
      <c r="G9" s="41"/>
    </row>
    <row r="10" spans="1:11" x14ac:dyDescent="0.2">
      <c r="A10" s="1" t="s">
        <v>2237</v>
      </c>
    </row>
    <row r="11" spans="1:11" x14ac:dyDescent="0.2">
      <c r="A11" s="1" t="s">
        <v>2238</v>
      </c>
    </row>
    <row r="12" spans="1:11" x14ac:dyDescent="0.2">
      <c r="A12" s="1" t="s">
        <v>2239</v>
      </c>
    </row>
    <row r="13" spans="1:11" ht="17" thickBot="1" x14ac:dyDescent="0.25"/>
    <row r="14" spans="1:11" x14ac:dyDescent="0.2">
      <c r="A14" s="4" t="s">
        <v>2240</v>
      </c>
      <c r="B14" s="5"/>
      <c r="C14" s="5"/>
      <c r="D14" s="5"/>
      <c r="E14" s="5"/>
      <c r="F14" s="6"/>
      <c r="H14" s="4" t="s">
        <v>2264</v>
      </c>
      <c r="I14" s="5"/>
      <c r="J14" s="5"/>
      <c r="K14" s="6"/>
    </row>
    <row r="15" spans="1:11" x14ac:dyDescent="0.2">
      <c r="A15" s="7" t="s">
        <v>2241</v>
      </c>
      <c r="F15" s="9"/>
      <c r="H15" s="7" t="s">
        <v>2265</v>
      </c>
      <c r="K15" s="9"/>
    </row>
    <row r="16" spans="1:11" x14ac:dyDescent="0.2">
      <c r="A16" s="7" t="s">
        <v>2242</v>
      </c>
      <c r="F16" s="9"/>
      <c r="H16" s="7" t="s">
        <v>2266</v>
      </c>
      <c r="K16" s="9"/>
    </row>
    <row r="17" spans="1:11" ht="17" thickBot="1" x14ac:dyDescent="0.25">
      <c r="A17" s="10" t="s">
        <v>2243</v>
      </c>
      <c r="B17" s="11"/>
      <c r="C17" s="11"/>
      <c r="D17" s="11"/>
      <c r="E17" s="11"/>
      <c r="F17" s="12"/>
      <c r="H17" s="7" t="s">
        <v>2267</v>
      </c>
      <c r="K17" s="9"/>
    </row>
    <row r="18" spans="1:11" x14ac:dyDescent="0.2">
      <c r="H18" s="7" t="s">
        <v>2269</v>
      </c>
      <c r="K18" s="9"/>
    </row>
    <row r="19" spans="1:11" ht="17" thickBot="1" x14ac:dyDescent="0.25">
      <c r="H19" s="10" t="s">
        <v>2268</v>
      </c>
      <c r="I19" s="11"/>
      <c r="J19" s="11"/>
      <c r="K19" s="12"/>
    </row>
    <row r="20" spans="1:11" ht="17" thickBot="1" x14ac:dyDescent="0.25"/>
    <row r="21" spans="1:11" x14ac:dyDescent="0.2">
      <c r="A21" s="4" t="s">
        <v>2304</v>
      </c>
      <c r="B21" s="5"/>
      <c r="C21" s="5"/>
      <c r="D21" s="5"/>
      <c r="E21" s="5"/>
      <c r="F21" s="6"/>
    </row>
    <row r="22" spans="1:11" x14ac:dyDescent="0.2">
      <c r="A22" s="7" t="s">
        <v>2305</v>
      </c>
      <c r="F22" s="9"/>
    </row>
    <row r="23" spans="1:11" x14ac:dyDescent="0.2">
      <c r="A23" s="7" t="s">
        <v>2306</v>
      </c>
      <c r="F23" s="9"/>
    </row>
    <row r="24" spans="1:11" x14ac:dyDescent="0.2">
      <c r="A24" s="7" t="s">
        <v>2307</v>
      </c>
      <c r="F24" s="9"/>
    </row>
    <row r="25" spans="1:11" ht="17" thickBot="1" x14ac:dyDescent="0.25">
      <c r="A25" s="10" t="s">
        <v>2308</v>
      </c>
      <c r="B25" s="11"/>
      <c r="C25" s="11"/>
      <c r="D25" s="11"/>
      <c r="E25" s="11"/>
      <c r="F25" s="12"/>
    </row>
    <row r="26" spans="1:11" ht="17" thickBot="1" x14ac:dyDescent="0.25"/>
    <row r="27" spans="1:11" x14ac:dyDescent="0.2">
      <c r="A27" s="4" t="s">
        <v>2345</v>
      </c>
      <c r="B27" s="5"/>
      <c r="C27" s="5"/>
      <c r="D27" s="5"/>
      <c r="E27" s="5"/>
      <c r="F27" s="6"/>
    </row>
    <row r="28" spans="1:11" x14ac:dyDescent="0.2">
      <c r="A28" s="7" t="s">
        <v>2350</v>
      </c>
      <c r="F28" s="9"/>
    </row>
    <row r="29" spans="1:11" x14ac:dyDescent="0.2">
      <c r="A29" s="7" t="s">
        <v>2346</v>
      </c>
      <c r="F29" s="9"/>
    </row>
    <row r="30" spans="1:11" x14ac:dyDescent="0.2">
      <c r="A30" s="7" t="s">
        <v>2347</v>
      </c>
      <c r="F30" s="9"/>
    </row>
    <row r="31" spans="1:11" x14ac:dyDescent="0.2">
      <c r="A31" s="7" t="s">
        <v>2348</v>
      </c>
      <c r="F31" s="9"/>
    </row>
    <row r="32" spans="1:11" ht="17" thickBot="1" x14ac:dyDescent="0.25">
      <c r="A32" s="10" t="s">
        <v>2349</v>
      </c>
      <c r="B32" s="11"/>
      <c r="C32" s="11"/>
      <c r="D32" s="11"/>
      <c r="E32" s="11"/>
      <c r="F32" s="12"/>
    </row>
    <row r="35" spans="1:16" x14ac:dyDescent="0.2">
      <c r="A35" s="1" t="s">
        <v>60</v>
      </c>
    </row>
    <row r="36" spans="1:16" x14ac:dyDescent="0.2">
      <c r="A36" s="1" t="s">
        <v>2244</v>
      </c>
    </row>
    <row r="37" spans="1:16" x14ac:dyDescent="0.2">
      <c r="A37" s="1" t="s">
        <v>2245</v>
      </c>
    </row>
    <row r="38" spans="1:16" x14ac:dyDescent="0.2">
      <c r="A38" s="1" t="s">
        <v>2246</v>
      </c>
    </row>
    <row r="39" spans="1:16" x14ac:dyDescent="0.2">
      <c r="A39" s="1" t="s">
        <v>2247</v>
      </c>
    </row>
    <row r="40" spans="1:16" ht="17" thickBot="1" x14ac:dyDescent="0.25"/>
    <row r="41" spans="1:16" x14ac:dyDescent="0.2">
      <c r="A41" s="4" t="s">
        <v>2240</v>
      </c>
      <c r="B41" s="5"/>
      <c r="C41" s="5"/>
      <c r="D41" s="5"/>
      <c r="E41" s="5"/>
      <c r="F41" s="6"/>
    </row>
    <row r="42" spans="1:16" x14ac:dyDescent="0.2">
      <c r="A42" s="7" t="s">
        <v>2241</v>
      </c>
      <c r="F42" s="9"/>
    </row>
    <row r="43" spans="1:16" x14ac:dyDescent="0.2">
      <c r="A43" s="7" t="s">
        <v>2242</v>
      </c>
      <c r="F43" s="9"/>
    </row>
    <row r="44" spans="1:16" ht="17" thickBot="1" x14ac:dyDescent="0.25">
      <c r="A44" s="10" t="s">
        <v>2243</v>
      </c>
      <c r="B44" s="11"/>
      <c r="C44" s="11"/>
      <c r="D44" s="11"/>
      <c r="E44" s="11"/>
      <c r="F44" s="12"/>
    </row>
    <row r="46" spans="1:16" x14ac:dyDescent="0.2">
      <c r="A46" s="308" t="s">
        <v>2272</v>
      </c>
      <c r="B46" s="2" t="s">
        <v>2248</v>
      </c>
      <c r="H46" s="308" t="s">
        <v>2273</v>
      </c>
      <c r="I46" s="1" t="s">
        <v>2274</v>
      </c>
      <c r="O46" s="308" t="s">
        <v>2293</v>
      </c>
      <c r="P46" s="2" t="s">
        <v>2294</v>
      </c>
    </row>
    <row r="47" spans="1:16" x14ac:dyDescent="0.2">
      <c r="B47" s="2" t="s">
        <v>2262</v>
      </c>
      <c r="I47" s="1" t="s">
        <v>2275</v>
      </c>
      <c r="P47" s="2" t="s">
        <v>2295</v>
      </c>
    </row>
    <row r="48" spans="1:16" x14ac:dyDescent="0.2">
      <c r="B48" s="2" t="s">
        <v>2263</v>
      </c>
      <c r="I48" s="1" t="s">
        <v>2276</v>
      </c>
      <c r="P48" s="2" t="s">
        <v>2296</v>
      </c>
    </row>
    <row r="49" spans="2:16" x14ac:dyDescent="0.2">
      <c r="B49" s="1" t="s">
        <v>2249</v>
      </c>
      <c r="I49" s="2" t="s">
        <v>2277</v>
      </c>
      <c r="P49" s="2" t="s">
        <v>2297</v>
      </c>
    </row>
    <row r="50" spans="2:16" x14ac:dyDescent="0.2">
      <c r="B50" s="1" t="s">
        <v>2250</v>
      </c>
      <c r="I50" s="2" t="s">
        <v>2278</v>
      </c>
      <c r="P50" s="1" t="s">
        <v>2298</v>
      </c>
    </row>
    <row r="51" spans="2:16" x14ac:dyDescent="0.2">
      <c r="B51" s="1" t="s">
        <v>2251</v>
      </c>
      <c r="I51" s="2" t="s">
        <v>2279</v>
      </c>
      <c r="P51" s="1" t="s">
        <v>2299</v>
      </c>
    </row>
    <row r="52" spans="2:16" x14ac:dyDescent="0.2">
      <c r="B52" s="1" t="s">
        <v>2252</v>
      </c>
      <c r="I52" s="1" t="s">
        <v>2280</v>
      </c>
      <c r="P52" s="1" t="s">
        <v>2300</v>
      </c>
    </row>
    <row r="53" spans="2:16" x14ac:dyDescent="0.2">
      <c r="B53" s="1" t="s">
        <v>2255</v>
      </c>
      <c r="I53" s="2" t="s">
        <v>2284</v>
      </c>
      <c r="P53" s="1" t="s">
        <v>2301</v>
      </c>
    </row>
    <row r="54" spans="2:16" x14ac:dyDescent="0.2">
      <c r="B54" s="1" t="s">
        <v>2253</v>
      </c>
      <c r="I54" s="2" t="s">
        <v>2281</v>
      </c>
      <c r="P54" s="1" t="s">
        <v>2302</v>
      </c>
    </row>
    <row r="55" spans="2:16" x14ac:dyDescent="0.2">
      <c r="B55" s="1" t="s">
        <v>2254</v>
      </c>
      <c r="I55" s="1" t="s">
        <v>2282</v>
      </c>
      <c r="P55" s="1" t="s">
        <v>2303</v>
      </c>
    </row>
    <row r="56" spans="2:16" x14ac:dyDescent="0.2">
      <c r="B56" s="1" t="s">
        <v>2256</v>
      </c>
      <c r="I56" s="1" t="s">
        <v>2283</v>
      </c>
    </row>
    <row r="57" spans="2:16" x14ac:dyDescent="0.2">
      <c r="B57" s="1" t="s">
        <v>2257</v>
      </c>
      <c r="I57" s="2" t="s">
        <v>2285</v>
      </c>
    </row>
    <row r="58" spans="2:16" x14ac:dyDescent="0.2">
      <c r="B58" s="1" t="s">
        <v>2258</v>
      </c>
      <c r="I58" s="2" t="s">
        <v>2286</v>
      </c>
    </row>
    <row r="59" spans="2:16" x14ac:dyDescent="0.2">
      <c r="B59" s="1" t="s">
        <v>2259</v>
      </c>
      <c r="I59" s="2" t="s">
        <v>2287</v>
      </c>
    </row>
    <row r="60" spans="2:16" x14ac:dyDescent="0.2">
      <c r="B60" s="1" t="s">
        <v>2260</v>
      </c>
      <c r="I60" s="2" t="s">
        <v>2288</v>
      </c>
    </row>
    <row r="61" spans="2:16" x14ac:dyDescent="0.2">
      <c r="B61" s="1" t="s">
        <v>2261</v>
      </c>
      <c r="I61" s="2" t="s">
        <v>2289</v>
      </c>
    </row>
    <row r="62" spans="2:16" x14ac:dyDescent="0.2">
      <c r="B62" s="210" t="s">
        <v>2270</v>
      </c>
      <c r="I62" s="2" t="s">
        <v>2290</v>
      </c>
    </row>
    <row r="63" spans="2:16" x14ac:dyDescent="0.2">
      <c r="B63" s="210" t="s">
        <v>2271</v>
      </c>
      <c r="I63" s="2" t="s">
        <v>2291</v>
      </c>
    </row>
    <row r="64" spans="2:16" x14ac:dyDescent="0.2">
      <c r="I64" s="2" t="s">
        <v>2292</v>
      </c>
    </row>
    <row r="67" spans="1:21" ht="17" thickBot="1" x14ac:dyDescent="0.25"/>
    <row r="68" spans="1:21" x14ac:dyDescent="0.2">
      <c r="A68" s="4" t="s">
        <v>2304</v>
      </c>
      <c r="B68" s="5"/>
      <c r="C68" s="5"/>
      <c r="D68" s="5"/>
      <c r="E68" s="5"/>
      <c r="F68" s="6"/>
    </row>
    <row r="69" spans="1:21" x14ac:dyDescent="0.2">
      <c r="A69" s="7" t="s">
        <v>2305</v>
      </c>
      <c r="F69" s="9"/>
    </row>
    <row r="70" spans="1:21" x14ac:dyDescent="0.2">
      <c r="A70" s="7" t="s">
        <v>2306</v>
      </c>
      <c r="F70" s="9"/>
    </row>
    <row r="71" spans="1:21" x14ac:dyDescent="0.2">
      <c r="A71" s="7" t="s">
        <v>2307</v>
      </c>
      <c r="F71" s="9"/>
    </row>
    <row r="72" spans="1:21" ht="17" thickBot="1" x14ac:dyDescent="0.25">
      <c r="A72" s="10" t="s">
        <v>2308</v>
      </c>
      <c r="B72" s="11"/>
      <c r="C72" s="11"/>
      <c r="D72" s="11"/>
      <c r="E72" s="11"/>
      <c r="F72" s="12"/>
    </row>
    <row r="74" spans="1:21" x14ac:dyDescent="0.2">
      <c r="A74" s="308" t="s">
        <v>2344</v>
      </c>
      <c r="B74" s="309" t="s">
        <v>2311</v>
      </c>
      <c r="C74" s="19"/>
      <c r="D74" s="19"/>
      <c r="E74" s="19"/>
      <c r="F74" s="19"/>
      <c r="G74" s="19"/>
      <c r="H74" s="308" t="s">
        <v>2309</v>
      </c>
      <c r="I74" s="309" t="s">
        <v>2329</v>
      </c>
      <c r="J74" s="28"/>
      <c r="K74" s="28"/>
      <c r="L74" s="28"/>
      <c r="M74" s="28"/>
      <c r="N74" s="28"/>
      <c r="O74" s="308" t="s">
        <v>2310</v>
      </c>
      <c r="P74" s="309" t="s">
        <v>2334</v>
      </c>
      <c r="Q74" s="28"/>
      <c r="R74" s="28"/>
      <c r="S74" s="28"/>
      <c r="T74" s="28"/>
      <c r="U74" s="28"/>
    </row>
    <row r="75" spans="1:21" x14ac:dyDescent="0.2">
      <c r="B75" s="1" t="s">
        <v>2312</v>
      </c>
      <c r="I75" s="309" t="s">
        <v>2330</v>
      </c>
      <c r="J75" s="28"/>
      <c r="K75" s="28"/>
      <c r="L75" s="28"/>
      <c r="M75" s="28"/>
      <c r="N75" s="28"/>
      <c r="P75" s="309" t="s">
        <v>2335</v>
      </c>
      <c r="Q75" s="28"/>
      <c r="R75" s="28"/>
      <c r="S75" s="28"/>
      <c r="T75" s="28"/>
      <c r="U75" s="28"/>
    </row>
    <row r="76" spans="1:21" x14ac:dyDescent="0.2">
      <c r="B76" s="1" t="s">
        <v>2313</v>
      </c>
      <c r="I76" s="309" t="s">
        <v>2331</v>
      </c>
      <c r="J76" s="28"/>
      <c r="K76" s="28"/>
      <c r="L76" s="28"/>
      <c r="M76" s="28"/>
      <c r="N76" s="28"/>
      <c r="P76" s="28" t="s">
        <v>2336</v>
      </c>
      <c r="Q76" s="28"/>
      <c r="R76" s="28"/>
      <c r="S76" s="28"/>
      <c r="T76" s="28"/>
      <c r="U76" s="28"/>
    </row>
    <row r="77" spans="1:21" x14ac:dyDescent="0.2">
      <c r="B77" s="1" t="s">
        <v>2314</v>
      </c>
      <c r="I77" s="309" t="s">
        <v>2332</v>
      </c>
      <c r="J77" s="28"/>
      <c r="K77" s="28"/>
      <c r="L77" s="28"/>
      <c r="M77" s="28"/>
      <c r="N77" s="28"/>
      <c r="P77" s="28" t="s">
        <v>2337</v>
      </c>
      <c r="Q77" s="28"/>
      <c r="R77" s="28"/>
      <c r="S77" s="28"/>
      <c r="T77" s="28"/>
      <c r="U77" s="28"/>
    </row>
    <row r="78" spans="1:21" x14ac:dyDescent="0.2">
      <c r="B78" s="1" t="s">
        <v>2315</v>
      </c>
      <c r="I78" s="309" t="s">
        <v>2333</v>
      </c>
      <c r="J78" s="28"/>
      <c r="K78" s="28"/>
      <c r="L78" s="28"/>
      <c r="M78" s="28"/>
      <c r="N78" s="28"/>
      <c r="P78" s="28" t="s">
        <v>2338</v>
      </c>
      <c r="Q78" s="28"/>
      <c r="R78" s="28"/>
      <c r="S78" s="28"/>
      <c r="T78" s="28"/>
      <c r="U78" s="28"/>
    </row>
    <row r="79" spans="1:21" x14ac:dyDescent="0.2">
      <c r="B79" s="1" t="s">
        <v>2316</v>
      </c>
      <c r="I79" s="28"/>
      <c r="J79" s="28"/>
      <c r="K79" s="28"/>
      <c r="L79" s="28"/>
      <c r="M79" s="28"/>
      <c r="N79" s="28"/>
      <c r="P79" s="28" t="s">
        <v>2339</v>
      </c>
      <c r="Q79" s="28"/>
      <c r="R79" s="28"/>
      <c r="S79" s="28"/>
      <c r="T79" s="28"/>
      <c r="U79" s="28"/>
    </row>
    <row r="80" spans="1:21" x14ac:dyDescent="0.2">
      <c r="B80" s="1" t="s">
        <v>2317</v>
      </c>
      <c r="I80" s="28"/>
      <c r="J80" s="28"/>
      <c r="K80" s="28"/>
      <c r="L80" s="28"/>
      <c r="M80" s="28"/>
      <c r="N80" s="28"/>
      <c r="P80" s="28" t="s">
        <v>2340</v>
      </c>
      <c r="Q80" s="28"/>
      <c r="R80" s="28"/>
      <c r="S80" s="28"/>
      <c r="T80" s="28"/>
      <c r="U80" s="28"/>
    </row>
    <row r="81" spans="1:21" x14ac:dyDescent="0.2">
      <c r="B81" s="1" t="s">
        <v>2318</v>
      </c>
      <c r="I81" s="28"/>
      <c r="J81" s="28"/>
      <c r="K81" s="28"/>
      <c r="L81" s="28"/>
      <c r="M81" s="28"/>
      <c r="N81" s="28"/>
      <c r="P81" s="28" t="s">
        <v>2341</v>
      </c>
      <c r="Q81" s="28"/>
      <c r="R81" s="28"/>
      <c r="S81" s="28"/>
      <c r="T81" s="28"/>
      <c r="U81" s="28"/>
    </row>
    <row r="82" spans="1:21" x14ac:dyDescent="0.2">
      <c r="B82" s="1" t="s">
        <v>2319</v>
      </c>
      <c r="I82" s="28"/>
      <c r="J82" s="28"/>
      <c r="K82" s="28"/>
      <c r="L82" s="28"/>
      <c r="M82" s="28"/>
      <c r="N82" s="28"/>
      <c r="P82" s="28" t="s">
        <v>2342</v>
      </c>
      <c r="Q82" s="28"/>
      <c r="R82" s="28"/>
      <c r="S82" s="28"/>
      <c r="T82" s="28"/>
      <c r="U82" s="28"/>
    </row>
    <row r="83" spans="1:21" x14ac:dyDescent="0.2">
      <c r="B83" s="1" t="s">
        <v>2320</v>
      </c>
      <c r="I83" s="28"/>
      <c r="J83" s="28"/>
      <c r="K83" s="28"/>
      <c r="L83" s="28"/>
      <c r="M83" s="28"/>
      <c r="N83" s="28"/>
      <c r="P83" s="28" t="s">
        <v>2343</v>
      </c>
      <c r="Q83" s="28"/>
      <c r="R83" s="28"/>
      <c r="S83" s="28"/>
      <c r="T83" s="28"/>
      <c r="U83" s="28"/>
    </row>
    <row r="84" spans="1:21" x14ac:dyDescent="0.2">
      <c r="B84" s="1" t="s">
        <v>2321</v>
      </c>
      <c r="I84" s="28"/>
      <c r="J84" s="28"/>
      <c r="K84" s="28"/>
      <c r="L84" s="28"/>
      <c r="M84" s="28"/>
      <c r="N84" s="28"/>
      <c r="P84" s="28"/>
      <c r="Q84" s="28"/>
      <c r="R84" s="28"/>
      <c r="S84" s="28"/>
      <c r="T84" s="28"/>
      <c r="U84" s="28"/>
    </row>
    <row r="85" spans="1:21" x14ac:dyDescent="0.2">
      <c r="B85" s="1" t="s">
        <v>2322</v>
      </c>
      <c r="I85" s="28"/>
      <c r="J85" s="28"/>
      <c r="K85" s="28"/>
      <c r="L85" s="28"/>
      <c r="M85" s="28"/>
      <c r="N85" s="28"/>
      <c r="P85" s="28"/>
      <c r="Q85" s="28"/>
      <c r="R85" s="28"/>
      <c r="S85" s="28"/>
      <c r="T85" s="28"/>
      <c r="U85" s="28"/>
    </row>
    <row r="86" spans="1:21" x14ac:dyDescent="0.2">
      <c r="B86" s="1" t="s">
        <v>2323</v>
      </c>
      <c r="I86" s="28"/>
      <c r="J86" s="28"/>
      <c r="K86" s="28"/>
      <c r="L86" s="28"/>
      <c r="M86" s="28"/>
      <c r="N86" s="28"/>
      <c r="P86" s="28"/>
      <c r="Q86" s="28"/>
      <c r="R86" s="28"/>
      <c r="S86" s="28"/>
      <c r="T86" s="28"/>
      <c r="U86" s="28"/>
    </row>
    <row r="87" spans="1:21" x14ac:dyDescent="0.2">
      <c r="B87" s="2" t="s">
        <v>2324</v>
      </c>
    </row>
    <row r="88" spans="1:21" x14ac:dyDescent="0.2">
      <c r="B88" s="2" t="s">
        <v>2325</v>
      </c>
    </row>
    <row r="89" spans="1:21" x14ac:dyDescent="0.2">
      <c r="B89" s="2" t="s">
        <v>2326</v>
      </c>
    </row>
    <row r="90" spans="1:21" x14ac:dyDescent="0.2">
      <c r="B90" s="2" t="s">
        <v>2327</v>
      </c>
    </row>
    <row r="91" spans="1:21" x14ac:dyDescent="0.2">
      <c r="B91" s="2" t="s">
        <v>2328</v>
      </c>
    </row>
    <row r="93" spans="1:21" ht="17" thickBot="1" x14ac:dyDescent="0.25"/>
    <row r="94" spans="1:21" x14ac:dyDescent="0.2">
      <c r="A94" s="4" t="s">
        <v>2345</v>
      </c>
      <c r="B94" s="5"/>
      <c r="C94" s="5"/>
      <c r="D94" s="5"/>
      <c r="E94" s="5"/>
      <c r="F94" s="6"/>
    </row>
    <row r="95" spans="1:21" x14ac:dyDescent="0.2">
      <c r="A95" s="7" t="s">
        <v>2350</v>
      </c>
      <c r="F95" s="9"/>
    </row>
    <row r="96" spans="1:21" x14ac:dyDescent="0.2">
      <c r="A96" s="7" t="s">
        <v>2346</v>
      </c>
      <c r="F96" s="9"/>
    </row>
    <row r="97" spans="1:16" x14ac:dyDescent="0.2">
      <c r="A97" s="7" t="s">
        <v>2347</v>
      </c>
      <c r="F97" s="9"/>
    </row>
    <row r="98" spans="1:16" x14ac:dyDescent="0.2">
      <c r="A98" s="7" t="s">
        <v>2348</v>
      </c>
      <c r="F98" s="9"/>
    </row>
    <row r="99" spans="1:16" ht="17" thickBot="1" x14ac:dyDescent="0.25">
      <c r="A99" s="10" t="s">
        <v>2349</v>
      </c>
      <c r="B99" s="11"/>
      <c r="C99" s="11"/>
      <c r="D99" s="11"/>
      <c r="E99" s="11"/>
      <c r="F99" s="12"/>
    </row>
    <row r="101" spans="1:16" x14ac:dyDescent="0.2">
      <c r="A101" s="308" t="s">
        <v>2351</v>
      </c>
      <c r="B101" s="2" t="s">
        <v>2354</v>
      </c>
      <c r="H101" s="308" t="s">
        <v>2352</v>
      </c>
      <c r="I101" s="2" t="s">
        <v>2365</v>
      </c>
      <c r="O101" s="308" t="s">
        <v>2353</v>
      </c>
      <c r="P101" s="2" t="s">
        <v>2371</v>
      </c>
    </row>
    <row r="102" spans="1:16" x14ac:dyDescent="0.2">
      <c r="B102" s="2" t="s">
        <v>2355</v>
      </c>
      <c r="I102" s="2" t="s">
        <v>2366</v>
      </c>
      <c r="P102" s="2" t="s">
        <v>2372</v>
      </c>
    </row>
    <row r="103" spans="1:16" x14ac:dyDescent="0.2">
      <c r="B103" s="2" t="s">
        <v>2356</v>
      </c>
      <c r="I103" s="2" t="s">
        <v>2367</v>
      </c>
      <c r="P103" s="2" t="s">
        <v>2373</v>
      </c>
    </row>
    <row r="104" spans="1:16" x14ac:dyDescent="0.2">
      <c r="B104" s="2" t="s">
        <v>2357</v>
      </c>
      <c r="I104" s="2" t="s">
        <v>2368</v>
      </c>
      <c r="P104" s="2" t="s">
        <v>2374</v>
      </c>
    </row>
    <row r="105" spans="1:16" x14ac:dyDescent="0.2">
      <c r="B105" s="1" t="s">
        <v>2358</v>
      </c>
      <c r="I105" s="2" t="s">
        <v>2369</v>
      </c>
    </row>
    <row r="106" spans="1:16" x14ac:dyDescent="0.2">
      <c r="B106" s="1" t="s">
        <v>2359</v>
      </c>
      <c r="I106" s="2" t="s">
        <v>2370</v>
      </c>
    </row>
    <row r="107" spans="1:16" x14ac:dyDescent="0.2">
      <c r="B107" s="1" t="s">
        <v>2360</v>
      </c>
    </row>
    <row r="108" spans="1:16" x14ac:dyDescent="0.2">
      <c r="B108" s="1" t="s">
        <v>2361</v>
      </c>
    </row>
    <row r="109" spans="1:16" x14ac:dyDescent="0.2">
      <c r="B109" s="1" t="s">
        <v>2362</v>
      </c>
    </row>
    <row r="110" spans="1:16" x14ac:dyDescent="0.2">
      <c r="B110" s="1" t="s">
        <v>2363</v>
      </c>
    </row>
    <row r="111" spans="1:16" x14ac:dyDescent="0.2">
      <c r="B111" s="1" t="s">
        <v>2364</v>
      </c>
    </row>
    <row r="114" spans="1:9" x14ac:dyDescent="0.2">
      <c r="A114" s="3" t="s">
        <v>2375</v>
      </c>
      <c r="B114" s="3"/>
      <c r="C114" s="3"/>
      <c r="D114" s="3"/>
      <c r="E114" s="3"/>
      <c r="F114" s="3"/>
      <c r="G114" s="41"/>
    </row>
    <row r="115" spans="1:9" x14ac:dyDescent="0.2">
      <c r="A115" s="3" t="s">
        <v>2236</v>
      </c>
      <c r="B115" s="3"/>
      <c r="C115" s="3"/>
      <c r="D115" s="3"/>
      <c r="E115" s="3"/>
      <c r="F115" s="3"/>
      <c r="G115" s="41"/>
    </row>
    <row r="117" spans="1:9" x14ac:dyDescent="0.2">
      <c r="A117" s="1" t="s">
        <v>2376</v>
      </c>
      <c r="I117" s="1" t="s">
        <v>2411</v>
      </c>
    </row>
    <row r="118" spans="1:9" x14ac:dyDescent="0.2">
      <c r="A118" s="1" t="s">
        <v>2377</v>
      </c>
      <c r="I118" s="1" t="s">
        <v>2412</v>
      </c>
    </row>
    <row r="119" spans="1:9" x14ac:dyDescent="0.2">
      <c r="A119" s="1" t="s">
        <v>2378</v>
      </c>
      <c r="I119" s="1" t="s">
        <v>2413</v>
      </c>
    </row>
    <row r="120" spans="1:9" x14ac:dyDescent="0.2">
      <c r="A120" s="1" t="s">
        <v>2379</v>
      </c>
      <c r="I120" s="1" t="s">
        <v>2414</v>
      </c>
    </row>
    <row r="121" spans="1:9" x14ac:dyDescent="0.2">
      <c r="A121" s="1" t="s">
        <v>2380</v>
      </c>
      <c r="I121" s="1" t="s">
        <v>2415</v>
      </c>
    </row>
    <row r="123" spans="1:9" x14ac:dyDescent="0.2">
      <c r="A123" s="1" t="s">
        <v>2381</v>
      </c>
      <c r="I123" s="2" t="s">
        <v>2416</v>
      </c>
    </row>
    <row r="124" spans="1:9" x14ac:dyDescent="0.2">
      <c r="A124" s="1" t="s">
        <v>2382</v>
      </c>
      <c r="I124" s="1" t="s">
        <v>2417</v>
      </c>
    </row>
    <row r="125" spans="1:9" x14ac:dyDescent="0.2">
      <c r="A125" s="1" t="s">
        <v>2383</v>
      </c>
      <c r="I125" s="1" t="s">
        <v>2418</v>
      </c>
    </row>
    <row r="126" spans="1:9" x14ac:dyDescent="0.2">
      <c r="A126" s="1" t="s">
        <v>2384</v>
      </c>
      <c r="I126" s="1" t="s">
        <v>2419</v>
      </c>
    </row>
    <row r="127" spans="1:9" x14ac:dyDescent="0.2">
      <c r="A127" s="1" t="s">
        <v>2385</v>
      </c>
      <c r="I127" s="1" t="s">
        <v>2420</v>
      </c>
    </row>
    <row r="128" spans="1:9" x14ac:dyDescent="0.2">
      <c r="A128" s="1" t="s">
        <v>2386</v>
      </c>
      <c r="I128" s="1" t="s">
        <v>2421</v>
      </c>
    </row>
    <row r="129" spans="1:9" x14ac:dyDescent="0.2">
      <c r="A129" s="1" t="s">
        <v>2387</v>
      </c>
      <c r="I129" s="1" t="s">
        <v>2422</v>
      </c>
    </row>
    <row r="130" spans="1:9" x14ac:dyDescent="0.2">
      <c r="A130" s="1" t="s">
        <v>2388</v>
      </c>
      <c r="I130" s="1" t="s">
        <v>2423</v>
      </c>
    </row>
    <row r="131" spans="1:9" x14ac:dyDescent="0.2">
      <c r="I131" s="1" t="s">
        <v>2424</v>
      </c>
    </row>
    <row r="132" spans="1:9" x14ac:dyDescent="0.2">
      <c r="I132" s="1" t="s">
        <v>2425</v>
      </c>
    </row>
    <row r="133" spans="1:9" x14ac:dyDescent="0.2">
      <c r="I133" s="1" t="s">
        <v>2426</v>
      </c>
    </row>
    <row r="134" spans="1:9" x14ac:dyDescent="0.2">
      <c r="I134" s="1" t="s">
        <v>2427</v>
      </c>
    </row>
    <row r="135" spans="1:9" x14ac:dyDescent="0.2">
      <c r="I135" s="1" t="s">
        <v>2428</v>
      </c>
    </row>
    <row r="136" spans="1:9" x14ac:dyDescent="0.2">
      <c r="I136" s="345" t="s">
        <v>2429</v>
      </c>
    </row>
    <row r="137" spans="1:9" x14ac:dyDescent="0.2">
      <c r="I137" s="345" t="s">
        <v>2430</v>
      </c>
    </row>
    <row r="138" spans="1:9" x14ac:dyDescent="0.2">
      <c r="I138" s="345" t="s">
        <v>2431</v>
      </c>
    </row>
    <row r="140" spans="1:9" x14ac:dyDescent="0.2">
      <c r="A140" s="1" t="s">
        <v>2389</v>
      </c>
      <c r="I140" s="2" t="s">
        <v>2432</v>
      </c>
    </row>
    <row r="141" spans="1:9" x14ac:dyDescent="0.2">
      <c r="A141" s="1" t="s">
        <v>2390</v>
      </c>
      <c r="I141" s="1" t="s">
        <v>2433</v>
      </c>
    </row>
    <row r="142" spans="1:9" x14ac:dyDescent="0.2">
      <c r="A142" s="1" t="s">
        <v>2391</v>
      </c>
      <c r="I142" s="1" t="s">
        <v>2434</v>
      </c>
    </row>
    <row r="143" spans="1:9" x14ac:dyDescent="0.2">
      <c r="A143" s="1" t="s">
        <v>2392</v>
      </c>
      <c r="I143" s="1" t="s">
        <v>2435</v>
      </c>
    </row>
    <row r="144" spans="1:9" x14ac:dyDescent="0.2">
      <c r="A144" s="1" t="s">
        <v>2393</v>
      </c>
      <c r="I144" s="1" t="s">
        <v>2436</v>
      </c>
    </row>
    <row r="145" spans="1:9" x14ac:dyDescent="0.2">
      <c r="A145" s="1" t="s">
        <v>2394</v>
      </c>
      <c r="I145" s="1" t="s">
        <v>2437</v>
      </c>
    </row>
    <row r="146" spans="1:9" x14ac:dyDescent="0.2">
      <c r="A146" s="1" t="s">
        <v>2395</v>
      </c>
      <c r="I146" s="1" t="s">
        <v>2438</v>
      </c>
    </row>
    <row r="147" spans="1:9" x14ac:dyDescent="0.2">
      <c r="A147" s="1" t="s">
        <v>2396</v>
      </c>
      <c r="I147" s="1" t="s">
        <v>2439</v>
      </c>
    </row>
    <row r="148" spans="1:9" x14ac:dyDescent="0.2">
      <c r="I148" s="1" t="s">
        <v>2440</v>
      </c>
    </row>
    <row r="149" spans="1:9" x14ac:dyDescent="0.2">
      <c r="I149" s="1" t="s">
        <v>2441</v>
      </c>
    </row>
    <row r="150" spans="1:9" x14ac:dyDescent="0.2">
      <c r="I150" s="1" t="s">
        <v>2442</v>
      </c>
    </row>
    <row r="151" spans="1:9" x14ac:dyDescent="0.2">
      <c r="I151" s="1" t="s">
        <v>2443</v>
      </c>
    </row>
    <row r="152" spans="1:9" x14ac:dyDescent="0.2">
      <c r="I152" s="1" t="s">
        <v>2444</v>
      </c>
    </row>
    <row r="153" spans="1:9" x14ac:dyDescent="0.2">
      <c r="I153" s="1" t="s">
        <v>2445</v>
      </c>
    </row>
    <row r="154" spans="1:9" x14ac:dyDescent="0.2">
      <c r="I154" s="1" t="s">
        <v>2446</v>
      </c>
    </row>
    <row r="155" spans="1:9" x14ac:dyDescent="0.2">
      <c r="I155" s="1" t="s">
        <v>2447</v>
      </c>
    </row>
    <row r="157" spans="1:9" x14ac:dyDescent="0.2">
      <c r="A157" s="1" t="s">
        <v>2397</v>
      </c>
      <c r="I157" s="1" t="s">
        <v>2448</v>
      </c>
    </row>
    <row r="158" spans="1:9" x14ac:dyDescent="0.2">
      <c r="A158" s="1" t="s">
        <v>2398</v>
      </c>
      <c r="I158" s="1" t="s">
        <v>2449</v>
      </c>
    </row>
    <row r="159" spans="1:9" x14ac:dyDescent="0.2">
      <c r="A159" s="1" t="s">
        <v>2399</v>
      </c>
      <c r="I159" s="1" t="s">
        <v>2450</v>
      </c>
    </row>
    <row r="160" spans="1:9" x14ac:dyDescent="0.2">
      <c r="A160" s="1" t="s">
        <v>2400</v>
      </c>
      <c r="I160" s="1" t="s">
        <v>2451</v>
      </c>
    </row>
    <row r="161" spans="1:9" x14ac:dyDescent="0.2">
      <c r="A161" s="1" t="s">
        <v>2401</v>
      </c>
      <c r="I161" s="1" t="s">
        <v>2452</v>
      </c>
    </row>
    <row r="162" spans="1:9" x14ac:dyDescent="0.2">
      <c r="A162" s="1" t="s">
        <v>2402</v>
      </c>
      <c r="I162" s="1" t="s">
        <v>2453</v>
      </c>
    </row>
    <row r="163" spans="1:9" x14ac:dyDescent="0.2">
      <c r="A163" s="1" t="s">
        <v>2403</v>
      </c>
      <c r="I163" s="1" t="s">
        <v>2454</v>
      </c>
    </row>
    <row r="164" spans="1:9" x14ac:dyDescent="0.2">
      <c r="A164" s="1" t="s">
        <v>2404</v>
      </c>
      <c r="I164" s="1" t="s">
        <v>2455</v>
      </c>
    </row>
    <row r="165" spans="1:9" x14ac:dyDescent="0.2">
      <c r="A165" s="1" t="s">
        <v>2405</v>
      </c>
      <c r="I165" s="1" t="s">
        <v>2456</v>
      </c>
    </row>
    <row r="166" spans="1:9" x14ac:dyDescent="0.2">
      <c r="I166" s="1" t="s">
        <v>2457</v>
      </c>
    </row>
    <row r="167" spans="1:9" x14ac:dyDescent="0.2">
      <c r="I167" s="1" t="s">
        <v>2458</v>
      </c>
    </row>
    <row r="168" spans="1:9" x14ac:dyDescent="0.2">
      <c r="I168" s="1" t="s">
        <v>2459</v>
      </c>
    </row>
    <row r="169" spans="1:9" x14ac:dyDescent="0.2">
      <c r="I169" s="1" t="s">
        <v>2460</v>
      </c>
    </row>
    <row r="170" spans="1:9" x14ac:dyDescent="0.2">
      <c r="I170" s="1" t="s">
        <v>2461</v>
      </c>
    </row>
    <row r="171" spans="1:9" x14ac:dyDescent="0.2">
      <c r="I171" s="1" t="s">
        <v>2462</v>
      </c>
    </row>
    <row r="173" spans="1:9" x14ac:dyDescent="0.2">
      <c r="A173" s="1" t="s">
        <v>2406</v>
      </c>
      <c r="I173" s="1" t="s">
        <v>2463</v>
      </c>
    </row>
    <row r="174" spans="1:9" x14ac:dyDescent="0.2">
      <c r="A174" s="1" t="s">
        <v>2464</v>
      </c>
      <c r="I174" s="1" t="s">
        <v>2465</v>
      </c>
    </row>
    <row r="175" spans="1:9" x14ac:dyDescent="0.2">
      <c r="A175" s="1" t="s">
        <v>2407</v>
      </c>
      <c r="I175" s="1" t="s">
        <v>2466</v>
      </c>
    </row>
    <row r="176" spans="1:9" x14ac:dyDescent="0.2">
      <c r="A176" s="1" t="s">
        <v>2408</v>
      </c>
      <c r="I176" s="1" t="s">
        <v>2467</v>
      </c>
    </row>
    <row r="177" spans="1:9" x14ac:dyDescent="0.2">
      <c r="A177" s="1" t="s">
        <v>2409</v>
      </c>
      <c r="I177" s="1" t="s">
        <v>2468</v>
      </c>
    </row>
    <row r="178" spans="1:9" x14ac:dyDescent="0.2">
      <c r="A178" s="1" t="s">
        <v>2410</v>
      </c>
      <c r="I178" s="1" t="s">
        <v>2469</v>
      </c>
    </row>
    <row r="179" spans="1:9" x14ac:dyDescent="0.2">
      <c r="I179" s="1" t="s">
        <v>2470</v>
      </c>
    </row>
    <row r="180" spans="1:9" x14ac:dyDescent="0.2">
      <c r="I180" s="1" t="s">
        <v>2471</v>
      </c>
    </row>
    <row r="181" spans="1:9" x14ac:dyDescent="0.2">
      <c r="I181" s="1" t="s">
        <v>2472</v>
      </c>
    </row>
    <row r="182" spans="1:9" x14ac:dyDescent="0.2">
      <c r="I182" s="1" t="s">
        <v>2473</v>
      </c>
    </row>
    <row r="183" spans="1:9" x14ac:dyDescent="0.2">
      <c r="I183" s="1" t="s">
        <v>2474</v>
      </c>
    </row>
    <row r="184" spans="1:9" x14ac:dyDescent="0.2">
      <c r="I184" s="1" t="s">
        <v>2475</v>
      </c>
    </row>
    <row r="185" spans="1:9" x14ac:dyDescent="0.2">
      <c r="I185" s="1" t="s">
        <v>2476</v>
      </c>
    </row>
    <row r="186" spans="1:9" x14ac:dyDescent="0.2">
      <c r="I186" s="1" t="s">
        <v>2477</v>
      </c>
    </row>
    <row r="187" spans="1:9" x14ac:dyDescent="0.2">
      <c r="I187" s="1" t="s">
        <v>2478</v>
      </c>
    </row>
    <row r="188" spans="1:9" x14ac:dyDescent="0.2">
      <c r="I188" s="1" t="s">
        <v>2479</v>
      </c>
    </row>
    <row r="189" spans="1:9" x14ac:dyDescent="0.2">
      <c r="I189" s="1" t="s">
        <v>2483</v>
      </c>
    </row>
    <row r="190" spans="1:9" x14ac:dyDescent="0.2">
      <c r="I190" s="1" t="s">
        <v>2480</v>
      </c>
    </row>
    <row r="191" spans="1:9" x14ac:dyDescent="0.2">
      <c r="I191" s="1" t="s">
        <v>2481</v>
      </c>
    </row>
    <row r="192" spans="1:9" x14ac:dyDescent="0.2">
      <c r="I192" s="1" t="s">
        <v>2482</v>
      </c>
    </row>
    <row r="195" spans="1:9" x14ac:dyDescent="0.2">
      <c r="A195" s="3" t="s">
        <v>2484</v>
      </c>
      <c r="B195" s="3"/>
      <c r="C195" s="3"/>
      <c r="D195" s="3"/>
      <c r="E195" s="3"/>
      <c r="F195" s="3"/>
      <c r="G195" s="41"/>
    </row>
    <row r="197" spans="1:9" x14ac:dyDescent="0.2">
      <c r="A197" s="1" t="s">
        <v>2485</v>
      </c>
      <c r="I197" s="1" t="s">
        <v>2517</v>
      </c>
    </row>
    <row r="198" spans="1:9" x14ac:dyDescent="0.2">
      <c r="A198" s="1" t="s">
        <v>2486</v>
      </c>
      <c r="I198" s="1" t="s">
        <v>2518</v>
      </c>
    </row>
    <row r="199" spans="1:9" x14ac:dyDescent="0.2">
      <c r="A199" s="1" t="s">
        <v>2487</v>
      </c>
      <c r="I199" s="1" t="s">
        <v>2519</v>
      </c>
    </row>
    <row r="200" spans="1:9" x14ac:dyDescent="0.2">
      <c r="A200" s="1" t="s">
        <v>2488</v>
      </c>
      <c r="I200" s="1" t="s">
        <v>2521</v>
      </c>
    </row>
    <row r="201" spans="1:9" x14ac:dyDescent="0.2">
      <c r="A201" s="1" t="s">
        <v>2489</v>
      </c>
      <c r="I201" s="1" t="s">
        <v>2522</v>
      </c>
    </row>
    <row r="202" spans="1:9" x14ac:dyDescent="0.2">
      <c r="A202" s="1" t="s">
        <v>2490</v>
      </c>
      <c r="I202" s="345" t="s">
        <v>2523</v>
      </c>
    </row>
    <row r="203" spans="1:9" x14ac:dyDescent="0.2">
      <c r="A203" s="1" t="s">
        <v>2491</v>
      </c>
      <c r="I203" s="345" t="s">
        <v>2524</v>
      </c>
    </row>
    <row r="204" spans="1:9" x14ac:dyDescent="0.2">
      <c r="A204" s="1" t="s">
        <v>2492</v>
      </c>
      <c r="I204" s="1" t="s">
        <v>2525</v>
      </c>
    </row>
    <row r="205" spans="1:9" x14ac:dyDescent="0.2">
      <c r="A205" s="1" t="s">
        <v>2493</v>
      </c>
      <c r="I205" s="1" t="s">
        <v>2526</v>
      </c>
    </row>
    <row r="206" spans="1:9" x14ac:dyDescent="0.2">
      <c r="A206" s="2" t="s">
        <v>2520</v>
      </c>
      <c r="I206" s="1" t="s">
        <v>2527</v>
      </c>
    </row>
    <row r="207" spans="1:9" x14ac:dyDescent="0.2">
      <c r="I207" s="1" t="s">
        <v>2528</v>
      </c>
    </row>
    <row r="208" spans="1:9" x14ac:dyDescent="0.2">
      <c r="I208" s="2" t="s">
        <v>2543</v>
      </c>
    </row>
    <row r="210" spans="1:9" x14ac:dyDescent="0.2">
      <c r="A210" s="1" t="s">
        <v>2432</v>
      </c>
      <c r="I210" s="1" t="s">
        <v>2529</v>
      </c>
    </row>
    <row r="211" spans="1:9" x14ac:dyDescent="0.2">
      <c r="A211" s="1" t="s">
        <v>2494</v>
      </c>
      <c r="I211" s="1" t="s">
        <v>2531</v>
      </c>
    </row>
    <row r="212" spans="1:9" x14ac:dyDescent="0.2">
      <c r="A212" s="1" t="s">
        <v>2495</v>
      </c>
      <c r="I212" s="1" t="s">
        <v>2532</v>
      </c>
    </row>
    <row r="213" spans="1:9" x14ac:dyDescent="0.2">
      <c r="A213" s="1" t="s">
        <v>2496</v>
      </c>
      <c r="I213" s="1" t="s">
        <v>2533</v>
      </c>
    </row>
    <row r="214" spans="1:9" x14ac:dyDescent="0.2">
      <c r="A214" s="1" t="s">
        <v>2497</v>
      </c>
      <c r="I214" s="1" t="s">
        <v>2534</v>
      </c>
    </row>
    <row r="215" spans="1:9" x14ac:dyDescent="0.2">
      <c r="A215" s="1" t="s">
        <v>2498</v>
      </c>
      <c r="I215" s="1" t="s">
        <v>2535</v>
      </c>
    </row>
    <row r="216" spans="1:9" x14ac:dyDescent="0.2">
      <c r="A216" s="1" t="s">
        <v>2499</v>
      </c>
      <c r="I216" s="1" t="s">
        <v>2536</v>
      </c>
    </row>
    <row r="217" spans="1:9" x14ac:dyDescent="0.2">
      <c r="A217" s="1" t="s">
        <v>2530</v>
      </c>
      <c r="I217" s="1" t="s">
        <v>2537</v>
      </c>
    </row>
    <row r="218" spans="1:9" x14ac:dyDescent="0.2">
      <c r="A218" s="1" t="s">
        <v>2500</v>
      </c>
      <c r="I218" s="1" t="s">
        <v>2538</v>
      </c>
    </row>
    <row r="219" spans="1:9" x14ac:dyDescent="0.2">
      <c r="A219" s="1" t="s">
        <v>2501</v>
      </c>
      <c r="I219" s="1" t="s">
        <v>2539</v>
      </c>
    </row>
    <row r="220" spans="1:9" x14ac:dyDescent="0.2">
      <c r="A220" s="1" t="s">
        <v>2502</v>
      </c>
      <c r="I220" s="1" t="s">
        <v>2540</v>
      </c>
    </row>
    <row r="221" spans="1:9" x14ac:dyDescent="0.2">
      <c r="A221" s="2" t="s">
        <v>2503</v>
      </c>
      <c r="I221" s="1" t="s">
        <v>2541</v>
      </c>
    </row>
    <row r="222" spans="1:9" x14ac:dyDescent="0.2">
      <c r="I222" s="1" t="s">
        <v>2542</v>
      </c>
    </row>
    <row r="223" spans="1:9" x14ac:dyDescent="0.2">
      <c r="I223" s="2" t="s">
        <v>2544</v>
      </c>
    </row>
    <row r="225" spans="1:9" x14ac:dyDescent="0.2">
      <c r="A225" s="1" t="s">
        <v>2504</v>
      </c>
      <c r="I225" s="1" t="s">
        <v>2546</v>
      </c>
    </row>
    <row r="226" spans="1:9" x14ac:dyDescent="0.2">
      <c r="A226" s="1" t="s">
        <v>2505</v>
      </c>
      <c r="I226" s="1" t="s">
        <v>2547</v>
      </c>
    </row>
    <row r="227" spans="1:9" x14ac:dyDescent="0.2">
      <c r="A227" s="1" t="s">
        <v>2506</v>
      </c>
      <c r="I227" s="1" t="s">
        <v>2548</v>
      </c>
    </row>
    <row r="228" spans="1:9" x14ac:dyDescent="0.2">
      <c r="A228" s="1" t="s">
        <v>2507</v>
      </c>
      <c r="I228" s="2" t="s">
        <v>2549</v>
      </c>
    </row>
    <row r="229" spans="1:9" x14ac:dyDescent="0.2">
      <c r="A229" s="1" t="s">
        <v>2508</v>
      </c>
      <c r="I229" s="2" t="s">
        <v>2550</v>
      </c>
    </row>
    <row r="230" spans="1:9" x14ac:dyDescent="0.2">
      <c r="A230" s="2" t="s">
        <v>2545</v>
      </c>
    </row>
    <row r="232" spans="1:9" x14ac:dyDescent="0.2">
      <c r="A232" s="1" t="s">
        <v>2509</v>
      </c>
      <c r="I232" s="1" t="s">
        <v>2551</v>
      </c>
    </row>
    <row r="233" spans="1:9" x14ac:dyDescent="0.2">
      <c r="A233" s="1" t="s">
        <v>2510</v>
      </c>
      <c r="I233" s="1" t="s">
        <v>2553</v>
      </c>
    </row>
    <row r="234" spans="1:9" x14ac:dyDescent="0.2">
      <c r="A234" s="1" t="s">
        <v>2552</v>
      </c>
      <c r="I234" s="1" t="s">
        <v>2554</v>
      </c>
    </row>
    <row r="235" spans="1:9" x14ac:dyDescent="0.2">
      <c r="A235" s="1" t="s">
        <v>2511</v>
      </c>
      <c r="I235" s="1" t="s">
        <v>2555</v>
      </c>
    </row>
    <row r="236" spans="1:9" x14ac:dyDescent="0.2">
      <c r="A236" s="1" t="s">
        <v>2512</v>
      </c>
      <c r="I236" s="1" t="s">
        <v>2556</v>
      </c>
    </row>
    <row r="237" spans="1:9" x14ac:dyDescent="0.2">
      <c r="A237" s="1" t="s">
        <v>2513</v>
      </c>
      <c r="I237" s="1" t="s">
        <v>2557</v>
      </c>
    </row>
    <row r="238" spans="1:9" x14ac:dyDescent="0.2">
      <c r="A238" s="1" t="s">
        <v>2514</v>
      </c>
      <c r="I238" s="1" t="s">
        <v>2558</v>
      </c>
    </row>
    <row r="239" spans="1:9" x14ac:dyDescent="0.2">
      <c r="A239" s="1" t="s">
        <v>2515</v>
      </c>
      <c r="I239" s="1" t="s">
        <v>2559</v>
      </c>
    </row>
    <row r="240" spans="1:9" x14ac:dyDescent="0.2">
      <c r="A240" s="2" t="s">
        <v>2516</v>
      </c>
      <c r="I240" s="1" t="s">
        <v>2560</v>
      </c>
    </row>
    <row r="241" spans="9:9" x14ac:dyDescent="0.2">
      <c r="I241" s="1" t="s">
        <v>2561</v>
      </c>
    </row>
    <row r="242" spans="9:9" x14ac:dyDescent="0.2">
      <c r="I242" s="1" t="s">
        <v>2562</v>
      </c>
    </row>
    <row r="243" spans="9:9" x14ac:dyDescent="0.2">
      <c r="I243" s="1" t="s">
        <v>2563</v>
      </c>
    </row>
    <row r="244" spans="9:9" x14ac:dyDescent="0.2">
      <c r="I244" s="1" t="s">
        <v>2564</v>
      </c>
    </row>
    <row r="245" spans="9:9" x14ac:dyDescent="0.2">
      <c r="I245" s="1" t="s">
        <v>2565</v>
      </c>
    </row>
    <row r="246" spans="9:9" x14ac:dyDescent="0.2">
      <c r="I246" s="1" t="s">
        <v>2566</v>
      </c>
    </row>
    <row r="247" spans="9:9" x14ac:dyDescent="0.2">
      <c r="I247" s="1" t="s">
        <v>2567</v>
      </c>
    </row>
    <row r="248" spans="9:9" x14ac:dyDescent="0.2">
      <c r="I248" s="1" t="s">
        <v>2568</v>
      </c>
    </row>
    <row r="249" spans="9:9" x14ac:dyDescent="0.2">
      <c r="I249" s="2" t="s">
        <v>127</v>
      </c>
    </row>
    <row r="250" spans="9:9" x14ac:dyDescent="0.2">
      <c r="I250" s="2" t="s">
        <v>2569</v>
      </c>
    </row>
    <row r="251" spans="9:9" x14ac:dyDescent="0.2">
      <c r="I251" s="2" t="s">
        <v>2570</v>
      </c>
    </row>
    <row r="252" spans="9:9" x14ac:dyDescent="0.2">
      <c r="I252" s="2" t="s">
        <v>2571</v>
      </c>
    </row>
  </sheetData>
  <mergeCells count="1">
    <mergeCell ref="A1:H1"/>
  </mergeCell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A7AE40-155E-864A-B4A5-4B95BE557E7D}">
  <dimension ref="A1:J459"/>
  <sheetViews>
    <sheetView rightToLeft="1" topLeftCell="A437" zoomScale="193" workbookViewId="0">
      <selection activeCell="B251" sqref="B251"/>
    </sheetView>
  </sheetViews>
  <sheetFormatPr baseColWidth="10" defaultRowHeight="16" x14ac:dyDescent="0.2"/>
  <cols>
    <col min="1" max="16384" width="10.83203125" style="1"/>
  </cols>
  <sheetData>
    <row r="1" spans="1:8" x14ac:dyDescent="0.2">
      <c r="A1" s="1" t="s">
        <v>187</v>
      </c>
    </row>
    <row r="3" spans="1:8" x14ac:dyDescent="0.2">
      <c r="A3" s="1" t="s">
        <v>188</v>
      </c>
    </row>
    <row r="5" spans="1:8" x14ac:dyDescent="0.2">
      <c r="A5" s="2" t="s">
        <v>189</v>
      </c>
    </row>
    <row r="6" spans="1:8" x14ac:dyDescent="0.2">
      <c r="A6" s="1" t="s">
        <v>190</v>
      </c>
    </row>
    <row r="11" spans="1:8" ht="17" thickBot="1" x14ac:dyDescent="0.25"/>
    <row r="12" spans="1:8" ht="17" thickBot="1" x14ac:dyDescent="0.25">
      <c r="A12" s="16" t="s">
        <v>191</v>
      </c>
      <c r="B12" s="33"/>
      <c r="C12" s="33"/>
      <c r="D12" s="33"/>
      <c r="E12" s="33"/>
      <c r="F12" s="33"/>
      <c r="G12" s="33"/>
      <c r="H12" s="34"/>
    </row>
    <row r="13" spans="1:8" x14ac:dyDescent="0.2">
      <c r="A13" s="1" t="s">
        <v>192</v>
      </c>
    </row>
    <row r="14" spans="1:8" x14ac:dyDescent="0.2">
      <c r="A14" s="1" t="s">
        <v>193</v>
      </c>
    </row>
    <row r="15" spans="1:8" x14ac:dyDescent="0.2">
      <c r="A15" s="1" t="s">
        <v>194</v>
      </c>
    </row>
    <row r="16" spans="1:8" x14ac:dyDescent="0.2">
      <c r="A16" s="1" t="s">
        <v>195</v>
      </c>
    </row>
    <row r="17" spans="1:9" x14ac:dyDescent="0.2">
      <c r="A17" s="1" t="s">
        <v>196</v>
      </c>
    </row>
    <row r="18" spans="1:9" x14ac:dyDescent="0.2">
      <c r="A18" s="1" t="s">
        <v>197</v>
      </c>
    </row>
    <row r="19" spans="1:9" x14ac:dyDescent="0.2">
      <c r="A19" s="1" t="s">
        <v>198</v>
      </c>
    </row>
    <row r="21" spans="1:9" x14ac:dyDescent="0.2">
      <c r="A21" s="1" t="s">
        <v>60</v>
      </c>
    </row>
    <row r="22" spans="1:9" x14ac:dyDescent="0.2">
      <c r="A22" s="1" t="s">
        <v>199</v>
      </c>
    </row>
    <row r="23" spans="1:9" x14ac:dyDescent="0.2">
      <c r="A23" s="1" t="s">
        <v>200</v>
      </c>
    </row>
    <row r="25" spans="1:9" x14ac:dyDescent="0.2">
      <c r="D25" s="36">
        <v>44196</v>
      </c>
      <c r="E25" s="36">
        <v>44561</v>
      </c>
      <c r="G25" s="1" t="s">
        <v>202</v>
      </c>
    </row>
    <row r="26" spans="1:9" x14ac:dyDescent="0.2">
      <c r="B26" s="1" t="s">
        <v>95</v>
      </c>
      <c r="D26" s="38">
        <v>130000</v>
      </c>
      <c r="E26" s="38">
        <v>130000</v>
      </c>
      <c r="G26" s="1" t="s">
        <v>203</v>
      </c>
    </row>
    <row r="27" spans="1:9" x14ac:dyDescent="0.2">
      <c r="B27" s="1" t="s">
        <v>96</v>
      </c>
      <c r="D27" s="21">
        <f>-D31</f>
        <v>-23333.333333333332</v>
      </c>
      <c r="E27" s="21">
        <f>D27-E31</f>
        <v>-46666.666666666664</v>
      </c>
      <c r="G27" s="1" t="s">
        <v>204</v>
      </c>
    </row>
    <row r="28" spans="1:9" x14ac:dyDescent="0.2">
      <c r="B28" s="1" t="s">
        <v>201</v>
      </c>
      <c r="D28" s="19">
        <v>0</v>
      </c>
      <c r="E28" s="19">
        <v>0</v>
      </c>
      <c r="G28" s="1" t="s">
        <v>205</v>
      </c>
      <c r="I28" s="1">
        <f>130000-60000</f>
        <v>70000</v>
      </c>
    </row>
    <row r="29" spans="1:9" x14ac:dyDescent="0.2">
      <c r="B29" s="1" t="s">
        <v>99</v>
      </c>
      <c r="D29" s="39">
        <f>SUM(D26:D28)</f>
        <v>106666.66666666667</v>
      </c>
      <c r="E29" s="39">
        <f>SUM(E26:E28)</f>
        <v>83333.333333333343</v>
      </c>
      <c r="G29" s="1" t="s">
        <v>206</v>
      </c>
      <c r="I29" s="1">
        <v>3</v>
      </c>
    </row>
    <row r="31" spans="1:9" x14ac:dyDescent="0.2">
      <c r="B31" s="1" t="s">
        <v>100</v>
      </c>
      <c r="D31" s="21">
        <f>(130000-60000)/3</f>
        <v>23333.333333333332</v>
      </c>
      <c r="E31" s="21">
        <f>(130000-60000)/3</f>
        <v>23333.333333333332</v>
      </c>
    </row>
    <row r="33" spans="1:8" x14ac:dyDescent="0.2">
      <c r="A33" s="1" t="s">
        <v>207</v>
      </c>
    </row>
    <row r="34" spans="1:8" x14ac:dyDescent="0.2">
      <c r="A34" s="1" t="s">
        <v>208</v>
      </c>
    </row>
    <row r="35" spans="1:8" x14ac:dyDescent="0.2">
      <c r="A35" s="1" t="s">
        <v>209</v>
      </c>
    </row>
    <row r="36" spans="1:8" x14ac:dyDescent="0.2">
      <c r="A36" s="1" t="s">
        <v>210</v>
      </c>
    </row>
    <row r="37" spans="1:8" x14ac:dyDescent="0.2">
      <c r="A37" s="1" t="s">
        <v>211</v>
      </c>
    </row>
    <row r="38" spans="1:8" x14ac:dyDescent="0.2">
      <c r="A38" s="1" t="s">
        <v>212</v>
      </c>
    </row>
    <row r="39" spans="1:8" x14ac:dyDescent="0.2">
      <c r="A39" s="1" t="s">
        <v>213</v>
      </c>
    </row>
    <row r="41" spans="1:8" x14ac:dyDescent="0.2">
      <c r="A41" s="2" t="s">
        <v>214</v>
      </c>
    </row>
    <row r="42" spans="1:8" ht="17" thickBot="1" x14ac:dyDescent="0.25"/>
    <row r="43" spans="1:8" ht="17" thickBot="1" x14ac:dyDescent="0.25">
      <c r="A43" s="16" t="s">
        <v>215</v>
      </c>
      <c r="B43" s="33"/>
      <c r="C43" s="33"/>
      <c r="D43" s="33"/>
      <c r="E43" s="33"/>
      <c r="F43" s="33"/>
      <c r="G43" s="33"/>
      <c r="H43" s="34"/>
    </row>
    <row r="52" spans="1:10" x14ac:dyDescent="0.2">
      <c r="A52" s="1" t="s">
        <v>216</v>
      </c>
    </row>
    <row r="53" spans="1:10" x14ac:dyDescent="0.2">
      <c r="A53" s="1" t="s">
        <v>217</v>
      </c>
    </row>
    <row r="54" spans="1:10" x14ac:dyDescent="0.2">
      <c r="A54" s="1" t="s">
        <v>218</v>
      </c>
    </row>
    <row r="55" spans="1:10" ht="17" thickBot="1" x14ac:dyDescent="0.25"/>
    <row r="56" spans="1:10" ht="17" thickBot="1" x14ac:dyDescent="0.25">
      <c r="A56" s="32" t="s">
        <v>219</v>
      </c>
      <c r="B56" s="33"/>
      <c r="C56" s="33"/>
      <c r="D56" s="33"/>
      <c r="E56" s="33"/>
      <c r="F56" s="33"/>
      <c r="G56" s="33"/>
      <c r="H56" s="34"/>
    </row>
    <row r="57" spans="1:10" x14ac:dyDescent="0.2">
      <c r="A57" s="1" t="s">
        <v>220</v>
      </c>
    </row>
    <row r="58" spans="1:10" x14ac:dyDescent="0.2">
      <c r="A58" s="1" t="s">
        <v>221</v>
      </c>
      <c r="J58" s="1" t="s">
        <v>244</v>
      </c>
    </row>
    <row r="59" spans="1:10" x14ac:dyDescent="0.2">
      <c r="A59" s="1" t="s">
        <v>222</v>
      </c>
      <c r="J59" s="1" t="s">
        <v>245</v>
      </c>
    </row>
    <row r="60" spans="1:10" x14ac:dyDescent="0.2">
      <c r="A60" s="1" t="s">
        <v>223</v>
      </c>
      <c r="J60" s="1" t="s">
        <v>246</v>
      </c>
    </row>
    <row r="61" spans="1:10" x14ac:dyDescent="0.2">
      <c r="A61" s="1" t="s">
        <v>224</v>
      </c>
      <c r="J61" s="1" t="s">
        <v>247</v>
      </c>
    </row>
    <row r="62" spans="1:10" x14ac:dyDescent="0.2">
      <c r="J62" s="1" t="s">
        <v>248</v>
      </c>
    </row>
    <row r="63" spans="1:10" x14ac:dyDescent="0.2">
      <c r="C63" s="1" t="s">
        <v>225</v>
      </c>
      <c r="D63" s="1" t="s">
        <v>226</v>
      </c>
      <c r="J63" s="1" t="s">
        <v>249</v>
      </c>
    </row>
    <row r="64" spans="1:10" x14ac:dyDescent="0.2">
      <c r="C64" s="1">
        <v>2022</v>
      </c>
      <c r="D64" s="1">
        <v>80</v>
      </c>
      <c r="J64" s="1" t="s">
        <v>250</v>
      </c>
    </row>
    <row r="65" spans="1:10" x14ac:dyDescent="0.2">
      <c r="C65" s="1">
        <v>2023</v>
      </c>
      <c r="D65" s="1">
        <v>70</v>
      </c>
    </row>
    <row r="66" spans="1:10" x14ac:dyDescent="0.2">
      <c r="C66" s="1">
        <v>2024</v>
      </c>
      <c r="D66" s="1">
        <v>60</v>
      </c>
      <c r="J66"/>
    </row>
    <row r="67" spans="1:10" x14ac:dyDescent="0.2">
      <c r="C67" s="1">
        <v>2025</v>
      </c>
      <c r="D67" s="1">
        <v>40</v>
      </c>
    </row>
    <row r="69" spans="1:10" x14ac:dyDescent="0.2">
      <c r="A69" s="1" t="s">
        <v>227</v>
      </c>
    </row>
    <row r="71" spans="1:10" x14ac:dyDescent="0.2">
      <c r="C71" s="40">
        <v>2022</v>
      </c>
      <c r="D71" s="40">
        <v>2023</v>
      </c>
      <c r="E71" s="40">
        <v>2024</v>
      </c>
      <c r="F71" s="40">
        <v>2025</v>
      </c>
    </row>
    <row r="72" spans="1:10" x14ac:dyDescent="0.2">
      <c r="B72" s="1" t="s">
        <v>95</v>
      </c>
      <c r="C72" s="21">
        <v>500000</v>
      </c>
      <c r="D72" s="21">
        <v>500000</v>
      </c>
      <c r="E72" s="21">
        <v>500000</v>
      </c>
      <c r="F72" s="21">
        <v>500000</v>
      </c>
    </row>
    <row r="73" spans="1:10" x14ac:dyDescent="0.2">
      <c r="B73" s="1" t="s">
        <v>228</v>
      </c>
      <c r="C73" s="21">
        <f>-C76</f>
        <v>-160000</v>
      </c>
      <c r="D73" s="21">
        <f>C73-D76</f>
        <v>-300000</v>
      </c>
      <c r="E73" s="21">
        <f>D73-E76</f>
        <v>-420000</v>
      </c>
      <c r="F73" s="21">
        <f>E73-F76</f>
        <v>-500000</v>
      </c>
    </row>
    <row r="74" spans="1:10" x14ac:dyDescent="0.2">
      <c r="B74" s="1" t="s">
        <v>99</v>
      </c>
      <c r="C74" s="22">
        <f>C72+C73</f>
        <v>340000</v>
      </c>
      <c r="D74" s="22">
        <f>D72+D73</f>
        <v>200000</v>
      </c>
      <c r="E74" s="22">
        <f>E72+E73</f>
        <v>80000</v>
      </c>
      <c r="F74" s="22">
        <f>F72+F73</f>
        <v>0</v>
      </c>
    </row>
    <row r="75" spans="1:10" x14ac:dyDescent="0.2">
      <c r="C75" s="21"/>
      <c r="D75" s="21"/>
      <c r="E75" s="21"/>
      <c r="F75" s="21"/>
    </row>
    <row r="76" spans="1:10" x14ac:dyDescent="0.2">
      <c r="B76" s="1" t="s">
        <v>100</v>
      </c>
      <c r="C76" s="21">
        <f>D83*D64</f>
        <v>160000</v>
      </c>
      <c r="D76" s="21">
        <f>D83*D65</f>
        <v>140000</v>
      </c>
      <c r="E76" s="21">
        <f>D83*D66</f>
        <v>120000</v>
      </c>
      <c r="F76" s="21">
        <f>D83*D67</f>
        <v>80000</v>
      </c>
    </row>
    <row r="79" spans="1:10" x14ac:dyDescent="0.2">
      <c r="A79" s="1" t="s">
        <v>229</v>
      </c>
    </row>
    <row r="80" spans="1:10" x14ac:dyDescent="0.2">
      <c r="A80" s="1" t="s">
        <v>230</v>
      </c>
    </row>
    <row r="81" spans="1:9" x14ac:dyDescent="0.2">
      <c r="A81" s="1" t="s">
        <v>231</v>
      </c>
    </row>
    <row r="83" spans="1:9" x14ac:dyDescent="0.2">
      <c r="B83" s="1" t="s">
        <v>233</v>
      </c>
      <c r="D83" s="1">
        <f>500000/250</f>
        <v>2000</v>
      </c>
      <c r="F83" s="1" t="s">
        <v>232</v>
      </c>
    </row>
    <row r="85" spans="1:9" x14ac:dyDescent="0.2">
      <c r="A85" s="1" t="s">
        <v>234</v>
      </c>
    </row>
    <row r="86" spans="1:9" ht="17" thickBot="1" x14ac:dyDescent="0.25"/>
    <row r="87" spans="1:9" ht="17" thickBot="1" x14ac:dyDescent="0.25">
      <c r="A87" s="32" t="s">
        <v>235</v>
      </c>
      <c r="B87" s="33"/>
      <c r="C87" s="33"/>
      <c r="D87" s="33"/>
      <c r="E87" s="33"/>
      <c r="F87" s="33"/>
      <c r="G87" s="33"/>
      <c r="H87" s="34"/>
    </row>
    <row r="88" spans="1:9" x14ac:dyDescent="0.2">
      <c r="A88" s="1" t="s">
        <v>236</v>
      </c>
    </row>
    <row r="89" spans="1:9" x14ac:dyDescent="0.2">
      <c r="A89" s="1" t="s">
        <v>221</v>
      </c>
    </row>
    <row r="90" spans="1:9" x14ac:dyDescent="0.2">
      <c r="A90" s="1" t="s">
        <v>237</v>
      </c>
    </row>
    <row r="91" spans="1:9" x14ac:dyDescent="0.2">
      <c r="A91" s="1" t="s">
        <v>223</v>
      </c>
    </row>
    <row r="92" spans="1:9" x14ac:dyDescent="0.2">
      <c r="A92" s="1" t="s">
        <v>224</v>
      </c>
      <c r="I92" s="1" t="s">
        <v>239</v>
      </c>
    </row>
    <row r="93" spans="1:9" x14ac:dyDescent="0.2">
      <c r="I93" s="1" t="s">
        <v>240</v>
      </c>
    </row>
    <row r="94" spans="1:9" x14ac:dyDescent="0.2">
      <c r="C94" s="1" t="s">
        <v>225</v>
      </c>
      <c r="D94" s="1" t="s">
        <v>238</v>
      </c>
      <c r="I94" s="1" t="s">
        <v>241</v>
      </c>
    </row>
    <row r="95" spans="1:9" x14ac:dyDescent="0.2">
      <c r="C95" s="1">
        <v>2022</v>
      </c>
      <c r="D95" s="1">
        <v>350</v>
      </c>
      <c r="I95" s="1" t="s">
        <v>242</v>
      </c>
    </row>
    <row r="96" spans="1:9" x14ac:dyDescent="0.2">
      <c r="C96" s="1">
        <v>2023</v>
      </c>
      <c r="D96" s="1">
        <v>200</v>
      </c>
      <c r="I96" s="1" t="s">
        <v>243</v>
      </c>
    </row>
    <row r="97" spans="1:9" x14ac:dyDescent="0.2">
      <c r="C97" s="1">
        <v>2024</v>
      </c>
      <c r="D97" s="1">
        <v>150</v>
      </c>
    </row>
    <row r="98" spans="1:9" x14ac:dyDescent="0.2">
      <c r="C98" s="1">
        <v>2025</v>
      </c>
      <c r="D98" s="1">
        <v>400</v>
      </c>
      <c r="I98"/>
    </row>
    <row r="100" spans="1:9" x14ac:dyDescent="0.2">
      <c r="A100" s="1" t="s">
        <v>227</v>
      </c>
    </row>
    <row r="103" spans="1:9" x14ac:dyDescent="0.2">
      <c r="C103" s="40">
        <v>2022</v>
      </c>
      <c r="D103" s="40">
        <v>2023</v>
      </c>
      <c r="E103" s="40">
        <v>2024</v>
      </c>
      <c r="F103" s="40">
        <v>2025</v>
      </c>
    </row>
    <row r="104" spans="1:9" x14ac:dyDescent="0.2">
      <c r="B104" s="1" t="s">
        <v>95</v>
      </c>
      <c r="C104" s="21">
        <v>300000</v>
      </c>
      <c r="D104" s="21">
        <v>300000</v>
      </c>
      <c r="E104" s="21">
        <v>300000</v>
      </c>
      <c r="F104" s="21">
        <v>300000</v>
      </c>
    </row>
    <row r="105" spans="1:9" x14ac:dyDescent="0.2">
      <c r="B105" s="1" t="s">
        <v>228</v>
      </c>
      <c r="C105" s="21">
        <f>-C108</f>
        <v>-105000</v>
      </c>
      <c r="D105" s="21">
        <f>C105-D108</f>
        <v>-165000</v>
      </c>
      <c r="E105" s="21">
        <f>D105-E108</f>
        <v>-210000</v>
      </c>
      <c r="F105" s="21">
        <f>E105-F108</f>
        <v>-330000</v>
      </c>
    </row>
    <row r="106" spans="1:9" x14ac:dyDescent="0.2">
      <c r="B106" s="1" t="s">
        <v>99</v>
      </c>
      <c r="C106" s="22">
        <f>C104+C105</f>
        <v>195000</v>
      </c>
      <c r="D106" s="22">
        <f>D104+D105</f>
        <v>135000</v>
      </c>
      <c r="E106" s="22">
        <f>E104+E105</f>
        <v>90000</v>
      </c>
      <c r="F106" s="22">
        <f>F104+F105</f>
        <v>-30000</v>
      </c>
    </row>
    <row r="107" spans="1:9" x14ac:dyDescent="0.2">
      <c r="C107" s="21"/>
      <c r="D107" s="21"/>
      <c r="E107" s="21"/>
      <c r="F107" s="21"/>
      <c r="I107"/>
    </row>
    <row r="108" spans="1:9" x14ac:dyDescent="0.2">
      <c r="B108" s="1" t="s">
        <v>100</v>
      </c>
      <c r="C108" s="21">
        <f>300000/1000*D95</f>
        <v>105000</v>
      </c>
      <c r="D108" s="21">
        <f>300000/1000*D96</f>
        <v>60000</v>
      </c>
      <c r="E108" s="21">
        <f>300000/1000*D97</f>
        <v>45000</v>
      </c>
      <c r="F108" s="21">
        <f>300000/1000*D98</f>
        <v>120000</v>
      </c>
    </row>
    <row r="114" spans="1:6" x14ac:dyDescent="0.2">
      <c r="A114" s="1" t="s">
        <v>251</v>
      </c>
    </row>
    <row r="115" spans="1:6" x14ac:dyDescent="0.2">
      <c r="A115" s="1" t="s">
        <v>252</v>
      </c>
    </row>
    <row r="116" spans="1:6" x14ac:dyDescent="0.2">
      <c r="A116" s="1" t="s">
        <v>253</v>
      </c>
    </row>
    <row r="118" spans="1:6" x14ac:dyDescent="0.2">
      <c r="C118" s="1" t="s">
        <v>225</v>
      </c>
      <c r="D118" s="1" t="s">
        <v>238</v>
      </c>
    </row>
    <row r="119" spans="1:6" x14ac:dyDescent="0.2">
      <c r="C119" s="1">
        <v>2022</v>
      </c>
      <c r="D119" s="1">
        <v>350</v>
      </c>
    </row>
    <row r="120" spans="1:6" x14ac:dyDescent="0.2">
      <c r="C120" s="1">
        <v>2023</v>
      </c>
      <c r="D120" s="1">
        <v>200</v>
      </c>
    </row>
    <row r="121" spans="1:6" x14ac:dyDescent="0.2">
      <c r="C121" s="1">
        <v>2024</v>
      </c>
      <c r="D121" s="1">
        <v>150</v>
      </c>
    </row>
    <row r="122" spans="1:6" x14ac:dyDescent="0.2">
      <c r="C122" s="1">
        <v>2025</v>
      </c>
      <c r="D122" s="1">
        <v>400</v>
      </c>
    </row>
    <row r="123" spans="1:6" x14ac:dyDescent="0.2">
      <c r="C123" s="1" t="s">
        <v>254</v>
      </c>
      <c r="D123" s="41">
        <f>SUM(D119:D122)</f>
        <v>1100</v>
      </c>
      <c r="E123" s="19" t="s">
        <v>256</v>
      </c>
      <c r="F123" s="1">
        <v>1000</v>
      </c>
    </row>
    <row r="124" spans="1:6" x14ac:dyDescent="0.2">
      <c r="D124" s="1" t="s">
        <v>255</v>
      </c>
      <c r="F124" s="1" t="s">
        <v>257</v>
      </c>
    </row>
    <row r="126" spans="1:6" x14ac:dyDescent="0.2">
      <c r="A126" s="1" t="s">
        <v>258</v>
      </c>
    </row>
    <row r="127" spans="1:6" x14ac:dyDescent="0.2">
      <c r="A127" s="1" t="s">
        <v>259</v>
      </c>
    </row>
    <row r="129" spans="1:6" x14ac:dyDescent="0.2">
      <c r="A129" s="1" t="s">
        <v>260</v>
      </c>
    </row>
    <row r="131" spans="1:6" x14ac:dyDescent="0.2">
      <c r="C131" s="1" t="s">
        <v>225</v>
      </c>
      <c r="D131" s="1" t="s">
        <v>238</v>
      </c>
    </row>
    <row r="132" spans="1:6" x14ac:dyDescent="0.2">
      <c r="C132" s="1">
        <v>2022</v>
      </c>
      <c r="D132" s="1">
        <v>350</v>
      </c>
    </row>
    <row r="133" spans="1:6" x14ac:dyDescent="0.2">
      <c r="C133" s="1">
        <v>2023</v>
      </c>
      <c r="D133" s="1">
        <v>200</v>
      </c>
    </row>
    <row r="134" spans="1:6" x14ac:dyDescent="0.2">
      <c r="C134" s="1">
        <v>2024</v>
      </c>
      <c r="D134" s="1">
        <v>150</v>
      </c>
    </row>
    <row r="135" spans="1:6" x14ac:dyDescent="0.2">
      <c r="C135" s="1">
        <v>2025</v>
      </c>
      <c r="D135" s="42">
        <v>300</v>
      </c>
    </row>
    <row r="136" spans="1:6" x14ac:dyDescent="0.2">
      <c r="C136" s="1" t="s">
        <v>254</v>
      </c>
      <c r="D136" s="41">
        <f>SUM(D132:D135)</f>
        <v>1000</v>
      </c>
      <c r="E136" s="19" t="s">
        <v>256</v>
      </c>
      <c r="F136" s="1">
        <v>1000</v>
      </c>
    </row>
    <row r="137" spans="1:6" x14ac:dyDescent="0.2">
      <c r="D137" s="1" t="s">
        <v>261</v>
      </c>
      <c r="F137" s="1" t="s">
        <v>257</v>
      </c>
    </row>
    <row r="139" spans="1:6" x14ac:dyDescent="0.2">
      <c r="C139" s="40">
        <v>2022</v>
      </c>
      <c r="D139" s="40">
        <v>2023</v>
      </c>
      <c r="E139" s="40">
        <v>2024</v>
      </c>
      <c r="F139" s="40">
        <v>2025</v>
      </c>
    </row>
    <row r="140" spans="1:6" x14ac:dyDescent="0.2">
      <c r="B140" s="1" t="s">
        <v>95</v>
      </c>
      <c r="C140" s="21">
        <v>300000</v>
      </c>
      <c r="D140" s="21">
        <v>300000</v>
      </c>
      <c r="E140" s="21">
        <v>300000</v>
      </c>
      <c r="F140" s="21">
        <v>300000</v>
      </c>
    </row>
    <row r="141" spans="1:6" x14ac:dyDescent="0.2">
      <c r="B141" s="1" t="s">
        <v>228</v>
      </c>
      <c r="C141" s="21">
        <f>C105</f>
        <v>-105000</v>
      </c>
      <c r="D141" s="21">
        <f>C141-D144</f>
        <v>-165000</v>
      </c>
      <c r="E141" s="21">
        <f>D141-E144</f>
        <v>-210000</v>
      </c>
      <c r="F141" s="43">
        <f>E141-F144</f>
        <v>-300000</v>
      </c>
    </row>
    <row r="142" spans="1:6" x14ac:dyDescent="0.2">
      <c r="B142" s="1" t="s">
        <v>99</v>
      </c>
      <c r="C142" s="22">
        <f>C140+C141</f>
        <v>195000</v>
      </c>
      <c r="D142" s="22">
        <f>D140+D141</f>
        <v>135000</v>
      </c>
      <c r="E142" s="22">
        <f>E140+E141</f>
        <v>90000</v>
      </c>
      <c r="F142" s="22">
        <f>F140+F141</f>
        <v>0</v>
      </c>
    </row>
    <row r="143" spans="1:6" x14ac:dyDescent="0.2">
      <c r="C143" s="21"/>
      <c r="D143" s="21"/>
      <c r="E143" s="21"/>
      <c r="F143" s="21"/>
    </row>
    <row r="144" spans="1:6" x14ac:dyDescent="0.2">
      <c r="B144" s="1" t="s">
        <v>100</v>
      </c>
      <c r="C144" s="21">
        <f>C108</f>
        <v>105000</v>
      </c>
      <c r="D144" s="21">
        <f t="shared" ref="D144:E144" si="0">D108</f>
        <v>60000</v>
      </c>
      <c r="E144" s="21">
        <f t="shared" si="0"/>
        <v>45000</v>
      </c>
      <c r="F144" s="43">
        <f>300000/1000*300</f>
        <v>90000</v>
      </c>
    </row>
    <row r="146" spans="1:8" x14ac:dyDescent="0.2">
      <c r="A146" s="2" t="s">
        <v>262</v>
      </c>
      <c r="B146" s="2"/>
      <c r="C146" s="2"/>
      <c r="D146" s="2"/>
      <c r="E146" s="2"/>
      <c r="F146" s="2"/>
      <c r="G146" s="2"/>
      <c r="H146" s="2"/>
    </row>
    <row r="148" spans="1:8" x14ac:dyDescent="0.2">
      <c r="A148" s="1" t="s">
        <v>263</v>
      </c>
    </row>
    <row r="149" spans="1:8" x14ac:dyDescent="0.2">
      <c r="A149" s="1" t="s">
        <v>264</v>
      </c>
    </row>
    <row r="150" spans="1:8" x14ac:dyDescent="0.2">
      <c r="A150" s="1" t="s">
        <v>265</v>
      </c>
    </row>
    <row r="151" spans="1:8" x14ac:dyDescent="0.2">
      <c r="A151" s="1" t="s">
        <v>266</v>
      </c>
    </row>
    <row r="152" spans="1:8" x14ac:dyDescent="0.2">
      <c r="A152" s="1" t="s">
        <v>267</v>
      </c>
    </row>
    <row r="153" spans="1:8" x14ac:dyDescent="0.2">
      <c r="A153" s="1" t="s">
        <v>268</v>
      </c>
    </row>
    <row r="154" spans="1:8" x14ac:dyDescent="0.2">
      <c r="A154" s="1" t="s">
        <v>269</v>
      </c>
    </row>
    <row r="155" spans="1:8" x14ac:dyDescent="0.2">
      <c r="A155" s="1" t="s">
        <v>270</v>
      </c>
    </row>
    <row r="157" spans="1:8" x14ac:dyDescent="0.2">
      <c r="A157" s="1" t="s">
        <v>271</v>
      </c>
    </row>
    <row r="159" spans="1:8" x14ac:dyDescent="0.2">
      <c r="A159" s="1" t="s">
        <v>272</v>
      </c>
    </row>
    <row r="160" spans="1:8" x14ac:dyDescent="0.2">
      <c r="B160" s="1" t="s">
        <v>273</v>
      </c>
    </row>
    <row r="161" spans="1:8" x14ac:dyDescent="0.2">
      <c r="B161" s="1" t="s">
        <v>274</v>
      </c>
    </row>
    <row r="162" spans="1:8" x14ac:dyDescent="0.2">
      <c r="B162" s="1" t="s">
        <v>298</v>
      </c>
    </row>
    <row r="163" spans="1:8" ht="17" thickBot="1" x14ac:dyDescent="0.25"/>
    <row r="164" spans="1:8" ht="17" thickBot="1" x14ac:dyDescent="0.25">
      <c r="A164" s="16" t="s">
        <v>191</v>
      </c>
      <c r="B164" s="33"/>
      <c r="C164" s="33"/>
      <c r="D164" s="33"/>
      <c r="E164" s="33"/>
      <c r="F164" s="33"/>
      <c r="G164" s="33"/>
      <c r="H164" s="34"/>
    </row>
    <row r="166" spans="1:8" x14ac:dyDescent="0.2">
      <c r="A166" s="1" t="s">
        <v>283</v>
      </c>
    </row>
    <row r="167" spans="1:8" x14ac:dyDescent="0.2">
      <c r="A167" s="1" t="s">
        <v>275</v>
      </c>
    </row>
    <row r="168" spans="1:8" x14ac:dyDescent="0.2">
      <c r="A168" s="1" t="s">
        <v>294</v>
      </c>
    </row>
    <row r="169" spans="1:8" x14ac:dyDescent="0.2">
      <c r="A169" s="45" t="s">
        <v>276</v>
      </c>
    </row>
    <row r="170" spans="1:8" x14ac:dyDescent="0.2">
      <c r="A170" s="45" t="s">
        <v>277</v>
      </c>
    </row>
    <row r="171" spans="1:8" x14ac:dyDescent="0.2">
      <c r="A171" s="1" t="s">
        <v>278</v>
      </c>
    </row>
    <row r="172" spans="1:8" x14ac:dyDescent="0.2">
      <c r="A172" s="1" t="s">
        <v>279</v>
      </c>
    </row>
    <row r="173" spans="1:8" x14ac:dyDescent="0.2">
      <c r="A173" s="1" t="s">
        <v>280</v>
      </c>
    </row>
    <row r="174" spans="1:8" x14ac:dyDescent="0.2">
      <c r="A174" s="1" t="s">
        <v>281</v>
      </c>
    </row>
    <row r="175" spans="1:8" x14ac:dyDescent="0.2">
      <c r="A175" s="1" t="s">
        <v>282</v>
      </c>
    </row>
    <row r="177" spans="1:9" x14ac:dyDescent="0.2">
      <c r="A177" s="2" t="s">
        <v>284</v>
      </c>
    </row>
    <row r="178" spans="1:9" x14ac:dyDescent="0.2">
      <c r="C178" s="1" t="s">
        <v>295</v>
      </c>
      <c r="D178" s="1" t="s">
        <v>295</v>
      </c>
      <c r="E178" s="1" t="s">
        <v>295</v>
      </c>
      <c r="F178" s="1" t="s">
        <v>296</v>
      </c>
      <c r="H178" s="1" t="s">
        <v>299</v>
      </c>
      <c r="I178" s="1" t="s">
        <v>300</v>
      </c>
    </row>
    <row r="179" spans="1:9" x14ac:dyDescent="0.2">
      <c r="C179" s="35">
        <v>43100</v>
      </c>
      <c r="D179" s="35">
        <v>43465</v>
      </c>
      <c r="E179" s="35">
        <v>43830</v>
      </c>
      <c r="F179" s="1" t="s">
        <v>297</v>
      </c>
      <c r="G179" s="35">
        <v>44196</v>
      </c>
      <c r="H179" s="35">
        <v>44561</v>
      </c>
      <c r="I179" s="1" t="s">
        <v>301</v>
      </c>
    </row>
    <row r="180" spans="1:9" x14ac:dyDescent="0.2">
      <c r="B180" s="1" t="s">
        <v>95</v>
      </c>
      <c r="C180" s="44">
        <f>D192</f>
        <v>182000</v>
      </c>
      <c r="D180" s="23">
        <f>C180</f>
        <v>182000</v>
      </c>
      <c r="E180" s="23">
        <f>D180</f>
        <v>182000</v>
      </c>
      <c r="F180" s="23">
        <f>E180+80000</f>
        <v>262000</v>
      </c>
      <c r="G180" s="23">
        <f>F180</f>
        <v>262000</v>
      </c>
      <c r="H180" s="23">
        <f>G180</f>
        <v>262000</v>
      </c>
      <c r="I180" s="1">
        <v>0</v>
      </c>
    </row>
    <row r="181" spans="1:9" x14ac:dyDescent="0.2">
      <c r="B181" s="1" t="s">
        <v>96</v>
      </c>
      <c r="C181" s="1">
        <f>-C184</f>
        <v>-32400</v>
      </c>
      <c r="D181" s="1">
        <f>C181-D184</f>
        <v>-64800</v>
      </c>
      <c r="E181" s="1">
        <f>D181-E184</f>
        <v>-97200</v>
      </c>
      <c r="F181" s="1">
        <f>E181</f>
        <v>-97200</v>
      </c>
      <c r="G181" s="1">
        <f>F181-G184</f>
        <v>-164600</v>
      </c>
      <c r="H181" s="1">
        <f>G181-H184</f>
        <v>-232000</v>
      </c>
      <c r="I181" s="1">
        <v>0</v>
      </c>
    </row>
    <row r="182" spans="1:9" x14ac:dyDescent="0.2">
      <c r="B182" s="1" t="s">
        <v>99</v>
      </c>
      <c r="C182" s="23">
        <f>SUM(C180:C181)</f>
        <v>149600</v>
      </c>
      <c r="D182" s="23">
        <f>D180+D181</f>
        <v>117200</v>
      </c>
      <c r="E182" s="23">
        <f>E180+E181</f>
        <v>84800</v>
      </c>
      <c r="F182" s="23">
        <f>E182+80000</f>
        <v>164800</v>
      </c>
      <c r="G182" s="23">
        <f>G180+G181</f>
        <v>97400</v>
      </c>
      <c r="H182" s="23">
        <f>H180+H181</f>
        <v>30000</v>
      </c>
      <c r="I182" s="1">
        <v>0</v>
      </c>
    </row>
    <row r="184" spans="1:9" x14ac:dyDescent="0.2">
      <c r="B184" s="1" t="s">
        <v>100</v>
      </c>
      <c r="C184" s="1">
        <f>(182000-20000)/5</f>
        <v>32400</v>
      </c>
      <c r="D184" s="1">
        <f>C184</f>
        <v>32400</v>
      </c>
      <c r="E184" s="1">
        <f>D184</f>
        <v>32400</v>
      </c>
      <c r="F184" s="46"/>
      <c r="G184" s="1">
        <f>(F182-30000)/2</f>
        <v>67400</v>
      </c>
      <c r="H184" s="1">
        <f>G184</f>
        <v>67400</v>
      </c>
      <c r="I184" s="1">
        <f>H184</f>
        <v>67400</v>
      </c>
    </row>
    <row r="186" spans="1:9" x14ac:dyDescent="0.2">
      <c r="B186" s="1" t="s">
        <v>302</v>
      </c>
      <c r="I186" s="23">
        <f>28000-H182</f>
        <v>-2000</v>
      </c>
    </row>
    <row r="188" spans="1:9" x14ac:dyDescent="0.2">
      <c r="A188" s="1" t="s">
        <v>285</v>
      </c>
      <c r="F188" s="1" t="s">
        <v>289</v>
      </c>
    </row>
    <row r="189" spans="1:9" x14ac:dyDescent="0.2">
      <c r="B189" s="1" t="s">
        <v>286</v>
      </c>
      <c r="D189" s="23">
        <v>150000</v>
      </c>
      <c r="F189" s="1" t="s">
        <v>290</v>
      </c>
    </row>
    <row r="190" spans="1:9" x14ac:dyDescent="0.2">
      <c r="B190" s="1" t="s">
        <v>287</v>
      </c>
      <c r="D190" s="23">
        <v>20000</v>
      </c>
      <c r="F190" s="1" t="s">
        <v>291</v>
      </c>
    </row>
    <row r="191" spans="1:9" x14ac:dyDescent="0.2">
      <c r="B191" s="1" t="s">
        <v>288</v>
      </c>
      <c r="D191" s="23">
        <v>12000</v>
      </c>
      <c r="F191" s="1" t="s">
        <v>292</v>
      </c>
    </row>
    <row r="192" spans="1:9" x14ac:dyDescent="0.2">
      <c r="B192" s="1" t="s">
        <v>293</v>
      </c>
      <c r="D192" s="44">
        <f>SUM(D189:D191)</f>
        <v>182000</v>
      </c>
    </row>
    <row r="194" spans="2:2" x14ac:dyDescent="0.2">
      <c r="B194"/>
    </row>
    <row r="212" spans="1:8" ht="17" thickBot="1" x14ac:dyDescent="0.25"/>
    <row r="213" spans="1:8" x14ac:dyDescent="0.2">
      <c r="A213" s="13" t="s">
        <v>303</v>
      </c>
      <c r="B213" s="5"/>
      <c r="C213" s="5"/>
      <c r="D213" s="5"/>
      <c r="E213" s="5"/>
      <c r="F213" s="5"/>
      <c r="G213" s="5"/>
      <c r="H213" s="6"/>
    </row>
    <row r="214" spans="1:8" x14ac:dyDescent="0.2">
      <c r="A214" s="7" t="s">
        <v>304</v>
      </c>
      <c r="H214" s="9"/>
    </row>
    <row r="215" spans="1:8" x14ac:dyDescent="0.2">
      <c r="A215" s="7" t="s">
        <v>305</v>
      </c>
      <c r="H215" s="9"/>
    </row>
    <row r="216" spans="1:8" x14ac:dyDescent="0.2">
      <c r="A216" s="7"/>
      <c r="H216" s="9"/>
    </row>
    <row r="217" spans="1:8" x14ac:dyDescent="0.2">
      <c r="A217" s="7"/>
      <c r="B217" s="311" t="s">
        <v>306</v>
      </c>
      <c r="C217" s="311"/>
      <c r="D217" s="311"/>
      <c r="E217" s="19" t="s">
        <v>307</v>
      </c>
      <c r="F217" s="312" t="s">
        <v>308</v>
      </c>
      <c r="G217" s="312"/>
      <c r="H217" s="313"/>
    </row>
    <row r="218" spans="1:8" x14ac:dyDescent="0.2">
      <c r="A218" s="7"/>
      <c r="E218" s="19" t="s">
        <v>309</v>
      </c>
      <c r="H218" s="9"/>
    </row>
    <row r="219" spans="1:8" x14ac:dyDescent="0.2">
      <c r="A219" s="7"/>
      <c r="H219" s="9"/>
    </row>
    <row r="220" spans="1:8" x14ac:dyDescent="0.2">
      <c r="A220" s="7" t="s">
        <v>310</v>
      </c>
      <c r="H220" s="9"/>
    </row>
    <row r="221" spans="1:8" x14ac:dyDescent="0.2">
      <c r="A221" s="7"/>
      <c r="B221" s="1" t="s">
        <v>311</v>
      </c>
      <c r="F221" s="1" t="s">
        <v>312</v>
      </c>
      <c r="H221" s="9"/>
    </row>
    <row r="222" spans="1:8" x14ac:dyDescent="0.2">
      <c r="A222" s="7"/>
      <c r="B222" s="1" t="s">
        <v>313</v>
      </c>
      <c r="F222" s="1" t="s">
        <v>314</v>
      </c>
      <c r="H222" s="9"/>
    </row>
    <row r="223" spans="1:8" x14ac:dyDescent="0.2">
      <c r="A223" s="7"/>
      <c r="B223" s="1" t="s">
        <v>315</v>
      </c>
      <c r="F223" s="1" t="s">
        <v>316</v>
      </c>
      <c r="H223" s="9"/>
    </row>
    <row r="224" spans="1:8" x14ac:dyDescent="0.2">
      <c r="A224" s="7"/>
      <c r="B224" s="1" t="s">
        <v>317</v>
      </c>
      <c r="H224" s="9"/>
    </row>
    <row r="225" spans="1:8" x14ac:dyDescent="0.2">
      <c r="A225" s="7"/>
      <c r="D225" s="1" t="s">
        <v>318</v>
      </c>
      <c r="H225" s="9"/>
    </row>
    <row r="226" spans="1:8" x14ac:dyDescent="0.2">
      <c r="A226" s="7"/>
      <c r="D226" s="1" t="s">
        <v>319</v>
      </c>
      <c r="H226" s="9"/>
    </row>
    <row r="227" spans="1:8" x14ac:dyDescent="0.2">
      <c r="A227" s="7"/>
      <c r="D227" s="1" t="s">
        <v>320</v>
      </c>
      <c r="H227" s="9"/>
    </row>
    <row r="228" spans="1:8" x14ac:dyDescent="0.2">
      <c r="A228" s="7"/>
      <c r="H228" s="9"/>
    </row>
    <row r="229" spans="1:8" x14ac:dyDescent="0.2">
      <c r="A229" s="7"/>
      <c r="D229" s="1" t="s">
        <v>321</v>
      </c>
      <c r="H229" s="9"/>
    </row>
    <row r="230" spans="1:8" x14ac:dyDescent="0.2">
      <c r="A230" s="7"/>
      <c r="D230" s="1" t="s">
        <v>322</v>
      </c>
      <c r="H230" s="9"/>
    </row>
    <row r="231" spans="1:8" ht="17" thickBot="1" x14ac:dyDescent="0.25">
      <c r="A231" s="10"/>
      <c r="B231" s="11"/>
      <c r="C231" s="11"/>
      <c r="D231" s="11" t="s">
        <v>323</v>
      </c>
      <c r="E231" s="11"/>
      <c r="F231" s="11"/>
      <c r="G231" s="11"/>
      <c r="H231" s="12"/>
    </row>
    <row r="233" spans="1:8" x14ac:dyDescent="0.2">
      <c r="A233" s="3" t="s">
        <v>324</v>
      </c>
      <c r="B233" s="41"/>
      <c r="C233" s="41"/>
      <c r="D233" s="41"/>
      <c r="E233" s="41"/>
      <c r="F233" s="41"/>
      <c r="G233" s="41"/>
      <c r="H233" s="41"/>
    </row>
    <row r="234" spans="1:8" x14ac:dyDescent="0.2">
      <c r="A234" s="1" t="s">
        <v>325</v>
      </c>
    </row>
    <row r="235" spans="1:8" x14ac:dyDescent="0.2">
      <c r="A235" s="1" t="s">
        <v>326</v>
      </c>
    </row>
    <row r="236" spans="1:8" x14ac:dyDescent="0.2">
      <c r="A236" s="1" t="s">
        <v>327</v>
      </c>
    </row>
    <row r="237" spans="1:8" x14ac:dyDescent="0.2">
      <c r="A237" s="1" t="s">
        <v>328</v>
      </c>
    </row>
    <row r="238" spans="1:8" x14ac:dyDescent="0.2">
      <c r="A238" s="1" t="s">
        <v>329</v>
      </c>
    </row>
    <row r="239" spans="1:8" x14ac:dyDescent="0.2">
      <c r="A239" s="1" t="s">
        <v>330</v>
      </c>
    </row>
    <row r="240" spans="1:8" x14ac:dyDescent="0.2">
      <c r="A240" s="1" t="s">
        <v>331</v>
      </c>
    </row>
    <row r="242" spans="1:9" x14ac:dyDescent="0.2">
      <c r="B242" s="47"/>
      <c r="C242" s="47"/>
      <c r="D242" s="47" t="s">
        <v>296</v>
      </c>
      <c r="E242" s="47" t="s">
        <v>296</v>
      </c>
      <c r="H242" s="1" t="s">
        <v>296</v>
      </c>
    </row>
    <row r="243" spans="1:9" x14ac:dyDescent="0.2">
      <c r="B243" s="47"/>
      <c r="C243" s="47"/>
      <c r="D243" s="47" t="s">
        <v>307</v>
      </c>
      <c r="E243" s="47" t="s">
        <v>297</v>
      </c>
      <c r="H243" s="1" t="s">
        <v>332</v>
      </c>
    </row>
    <row r="244" spans="1:9" x14ac:dyDescent="0.2">
      <c r="B244" s="48">
        <v>43465</v>
      </c>
      <c r="C244" s="48">
        <v>43830</v>
      </c>
      <c r="D244" s="48">
        <v>44012</v>
      </c>
      <c r="E244" s="48">
        <v>44012</v>
      </c>
      <c r="F244" s="49">
        <v>44196</v>
      </c>
      <c r="G244" s="49">
        <v>44561</v>
      </c>
      <c r="H244" s="50">
        <v>44834</v>
      </c>
      <c r="I244" s="49">
        <v>44926</v>
      </c>
    </row>
    <row r="245" spans="1:9" x14ac:dyDescent="0.2">
      <c r="A245" s="1" t="s">
        <v>95</v>
      </c>
      <c r="B245" s="23">
        <v>150000</v>
      </c>
      <c r="C245" s="23">
        <f>B245</f>
        <v>150000</v>
      </c>
      <c r="D245" s="23">
        <f>C245</f>
        <v>150000</v>
      </c>
      <c r="E245" s="23">
        <f>D245+70000</f>
        <v>220000</v>
      </c>
      <c r="F245" s="23">
        <f>E245</f>
        <v>220000</v>
      </c>
      <c r="G245" s="23">
        <f>F245</f>
        <v>220000</v>
      </c>
      <c r="H245" s="23">
        <f>G245</f>
        <v>220000</v>
      </c>
      <c r="I245" s="1">
        <v>0</v>
      </c>
    </row>
    <row r="246" spans="1:9" x14ac:dyDescent="0.2">
      <c r="A246" s="1" t="s">
        <v>96</v>
      </c>
      <c r="B246" s="1">
        <f>-B249</f>
        <v>-30000</v>
      </c>
      <c r="C246" s="1">
        <f>B246-C249</f>
        <v>-60000</v>
      </c>
      <c r="D246" s="1">
        <f>C246-D249</f>
        <v>-75000</v>
      </c>
      <c r="E246" s="1">
        <f>D246</f>
        <v>-75000</v>
      </c>
      <c r="F246" s="23">
        <f>C246-F249</f>
        <v>-85416.666666666657</v>
      </c>
      <c r="G246" s="23">
        <f>F246-G249</f>
        <v>-106249.99999999999</v>
      </c>
      <c r="H246" s="23">
        <f>G246-H249</f>
        <v>-121874.99999999999</v>
      </c>
      <c r="I246" s="1">
        <v>0</v>
      </c>
    </row>
    <row r="247" spans="1:9" x14ac:dyDescent="0.2">
      <c r="A247" s="1" t="s">
        <v>99</v>
      </c>
      <c r="B247" s="51">
        <f>B245+B246</f>
        <v>120000</v>
      </c>
      <c r="C247" s="51">
        <f t="shared" ref="C247:D247" si="1">C245+C246</f>
        <v>90000</v>
      </c>
      <c r="D247" s="51">
        <f t="shared" si="1"/>
        <v>75000</v>
      </c>
      <c r="E247" s="52">
        <f>E245+E246</f>
        <v>145000</v>
      </c>
      <c r="F247" s="51">
        <f>F245+F246</f>
        <v>134583.33333333334</v>
      </c>
      <c r="G247" s="51">
        <f>G245+G246</f>
        <v>113750.00000000001</v>
      </c>
      <c r="H247" s="51">
        <f>H245+H246</f>
        <v>98125.000000000015</v>
      </c>
      <c r="I247" s="37">
        <v>0</v>
      </c>
    </row>
    <row r="249" spans="1:9" x14ac:dyDescent="0.2">
      <c r="A249" s="1" t="s">
        <v>100</v>
      </c>
      <c r="B249" s="1">
        <f>(150000-0)/5</f>
        <v>30000</v>
      </c>
      <c r="C249" s="1">
        <f>B249</f>
        <v>30000</v>
      </c>
      <c r="D249" s="1">
        <f>C249*6/12</f>
        <v>15000</v>
      </c>
      <c r="F249" s="53">
        <f>15000+((75000+70000)-20000)/(5-2.5+3.5)*(6/12)</f>
        <v>25416.666666666664</v>
      </c>
      <c r="G249" s="53">
        <f>((75000+70000)-20000)/(5-2.5+3.5)</f>
        <v>20833.333333333332</v>
      </c>
      <c r="H249" s="23">
        <f>(145000-20000)/(5-2.5+3.5)*(9/12)</f>
        <v>15625</v>
      </c>
      <c r="I249" s="23">
        <f>H249</f>
        <v>15625</v>
      </c>
    </row>
    <row r="251" spans="1:9" x14ac:dyDescent="0.2">
      <c r="A251" s="1" t="s">
        <v>302</v>
      </c>
      <c r="I251" s="23">
        <f>44000-H247</f>
        <v>-54125.000000000015</v>
      </c>
    </row>
    <row r="252" spans="1:9" x14ac:dyDescent="0.2">
      <c r="I252" s="23"/>
    </row>
    <row r="253" spans="1:9" x14ac:dyDescent="0.2">
      <c r="A253" s="3" t="s">
        <v>333</v>
      </c>
      <c r="B253" s="41"/>
      <c r="C253" s="41"/>
      <c r="D253" s="41"/>
      <c r="E253" s="41"/>
      <c r="F253" s="41"/>
      <c r="G253" s="41"/>
      <c r="H253" s="41"/>
    </row>
    <row r="254" spans="1:9" x14ac:dyDescent="0.2">
      <c r="A254" s="1" t="s">
        <v>334</v>
      </c>
    </row>
    <row r="255" spans="1:9" x14ac:dyDescent="0.2">
      <c r="A255" s="1" t="s">
        <v>326</v>
      </c>
    </row>
    <row r="256" spans="1:9" x14ac:dyDescent="0.2">
      <c r="A256" s="1" t="s">
        <v>335</v>
      </c>
    </row>
    <row r="257" spans="1:9" x14ac:dyDescent="0.2">
      <c r="A257" s="1" t="s">
        <v>328</v>
      </c>
    </row>
    <row r="258" spans="1:9" x14ac:dyDescent="0.2">
      <c r="A258" s="1" t="s">
        <v>329</v>
      </c>
    </row>
    <row r="259" spans="1:9" x14ac:dyDescent="0.2">
      <c r="A259" s="1" t="s">
        <v>330</v>
      </c>
    </row>
    <row r="260" spans="1:9" ht="17" thickBot="1" x14ac:dyDescent="0.25"/>
    <row r="261" spans="1:9" ht="17" thickBot="1" x14ac:dyDescent="0.25">
      <c r="A261" s="32" t="s">
        <v>331</v>
      </c>
      <c r="B261" s="33"/>
      <c r="C261" s="33"/>
      <c r="D261" s="33"/>
      <c r="E261" s="33"/>
      <c r="F261" s="33"/>
      <c r="G261" s="33"/>
      <c r="H261" s="34"/>
    </row>
    <row r="263" spans="1:9" x14ac:dyDescent="0.2">
      <c r="A263" s="2" t="s">
        <v>336</v>
      </c>
    </row>
    <row r="264" spans="1:9" x14ac:dyDescent="0.2">
      <c r="A264" s="2" t="s">
        <v>337</v>
      </c>
    </row>
    <row r="265" spans="1:9" x14ac:dyDescent="0.2">
      <c r="D265" s="1" t="s">
        <v>338</v>
      </c>
      <c r="E265" s="1" t="s">
        <v>339</v>
      </c>
      <c r="H265" s="1" t="s">
        <v>340</v>
      </c>
    </row>
    <row r="266" spans="1:9" x14ac:dyDescent="0.2">
      <c r="B266" s="49">
        <v>43465</v>
      </c>
      <c r="C266" s="49">
        <v>43830</v>
      </c>
      <c r="D266" s="49">
        <v>44012</v>
      </c>
      <c r="E266" s="49">
        <v>44012</v>
      </c>
      <c r="F266" s="49">
        <v>44196</v>
      </c>
      <c r="G266" s="49">
        <v>44561</v>
      </c>
      <c r="H266" s="49">
        <v>44834</v>
      </c>
      <c r="I266" s="49">
        <v>44926</v>
      </c>
    </row>
    <row r="267" spans="1:9" x14ac:dyDescent="0.2">
      <c r="A267" s="1" t="s">
        <v>95</v>
      </c>
      <c r="B267" s="1">
        <v>150000</v>
      </c>
      <c r="C267" s="1">
        <v>150000</v>
      </c>
      <c r="D267" s="1">
        <v>150000</v>
      </c>
      <c r="E267" s="1">
        <f>D267+70000</f>
        <v>220000</v>
      </c>
      <c r="F267" s="1">
        <f>E267</f>
        <v>220000</v>
      </c>
      <c r="G267" s="1">
        <f>F267</f>
        <v>220000</v>
      </c>
      <c r="H267" s="1">
        <f>G267</f>
        <v>220000</v>
      </c>
      <c r="I267" s="1">
        <v>0</v>
      </c>
    </row>
    <row r="268" spans="1:9" x14ac:dyDescent="0.2">
      <c r="A268" s="1" t="s">
        <v>96</v>
      </c>
      <c r="B268" s="1">
        <f>-B271</f>
        <v>-50000</v>
      </c>
      <c r="C268" s="1">
        <f>B268-C271</f>
        <v>-90000</v>
      </c>
      <c r="D268" s="1">
        <f>C268-D271</f>
        <v>-105000</v>
      </c>
      <c r="E268" s="1">
        <f>D268</f>
        <v>-105000</v>
      </c>
      <c r="F268" s="54">
        <f>C268-F271</f>
        <v>-118571.42857142858</v>
      </c>
      <c r="G268" s="54">
        <f>F268-G271</f>
        <v>-143452.38095238095</v>
      </c>
      <c r="H268" s="54">
        <f>G268-H271</f>
        <v>-159285.71428571429</v>
      </c>
      <c r="I268" s="1">
        <v>0</v>
      </c>
    </row>
    <row r="269" spans="1:9" x14ac:dyDescent="0.2">
      <c r="A269" s="1" t="s">
        <v>341</v>
      </c>
      <c r="B269" s="1">
        <f t="shared" ref="B269:H269" si="2">B267+B268</f>
        <v>100000</v>
      </c>
      <c r="C269" s="1">
        <f t="shared" si="2"/>
        <v>60000</v>
      </c>
      <c r="D269" s="1">
        <f t="shared" si="2"/>
        <v>45000</v>
      </c>
      <c r="E269" s="1">
        <f t="shared" si="2"/>
        <v>115000</v>
      </c>
      <c r="F269" s="54">
        <f t="shared" si="2"/>
        <v>101428.57142857142</v>
      </c>
      <c r="G269" s="54">
        <f t="shared" si="2"/>
        <v>76547.619047619053</v>
      </c>
      <c r="H269" s="54">
        <f t="shared" si="2"/>
        <v>60714.28571428571</v>
      </c>
      <c r="I269" s="1">
        <v>0</v>
      </c>
    </row>
    <row r="271" spans="1:9" x14ac:dyDescent="0.2">
      <c r="A271" s="1" t="s">
        <v>100</v>
      </c>
      <c r="B271" s="1">
        <f>(150000-0)*5/(5*6/2)</f>
        <v>50000</v>
      </c>
      <c r="C271" s="1">
        <f>(150000-0)*4/(5*6/2)</f>
        <v>40000</v>
      </c>
      <c r="D271" s="1">
        <f>(150000-0)*3*(6/12)/(5*6/2)</f>
        <v>15000</v>
      </c>
      <c r="F271" s="54">
        <f>D271+(115000-20000)*6*(6/12)/(6*7/2)</f>
        <v>28571.428571428572</v>
      </c>
      <c r="G271" s="54">
        <f>(115000-20000)*6*(6/12)/(6*7/2)+(115000-20000)*5*(6/12)/(6*7/2)</f>
        <v>24880.952380952382</v>
      </c>
      <c r="H271" s="54">
        <f>(115000-20000)*5*(6/12)/(6*7/2)+(115000-20000)*4*(3/12)/(6*7/2)</f>
        <v>15833.333333333332</v>
      </c>
      <c r="I271" s="54">
        <f>H271</f>
        <v>15833.333333333332</v>
      </c>
    </row>
    <row r="273" spans="1:9" x14ac:dyDescent="0.2">
      <c r="A273" s="1" t="s">
        <v>302</v>
      </c>
      <c r="I273" s="54">
        <f>44000-H269</f>
        <v>-16714.28571428571</v>
      </c>
    </row>
    <row r="275" spans="1:9" x14ac:dyDescent="0.2">
      <c r="A275" s="1" t="s">
        <v>342</v>
      </c>
      <c r="D275" s="1" t="s">
        <v>343</v>
      </c>
      <c r="F275" s="23">
        <f>E269</f>
        <v>115000</v>
      </c>
    </row>
    <row r="276" spans="1:9" x14ac:dyDescent="0.2">
      <c r="D276" s="1" t="s">
        <v>344</v>
      </c>
      <c r="F276" s="1">
        <v>20000</v>
      </c>
    </row>
    <row r="277" spans="1:9" x14ac:dyDescent="0.2">
      <c r="D277" s="1" t="s">
        <v>345</v>
      </c>
      <c r="F277" s="55">
        <f>F275-F276</f>
        <v>95000</v>
      </c>
    </row>
    <row r="279" spans="1:9" x14ac:dyDescent="0.2">
      <c r="D279" s="1" t="s">
        <v>346</v>
      </c>
    </row>
    <row r="280" spans="1:9" x14ac:dyDescent="0.2">
      <c r="D280" s="1" t="s">
        <v>347</v>
      </c>
      <c r="F280" s="1">
        <v>5</v>
      </c>
    </row>
    <row r="281" spans="1:9" x14ac:dyDescent="0.2">
      <c r="D281" s="1" t="s">
        <v>348</v>
      </c>
      <c r="F281" s="1">
        <v>-2.5</v>
      </c>
      <c r="G281" s="1" t="s">
        <v>349</v>
      </c>
    </row>
    <row r="282" spans="1:9" x14ac:dyDescent="0.2">
      <c r="D282" s="1" t="s">
        <v>350</v>
      </c>
      <c r="F282" s="1">
        <v>3.5</v>
      </c>
      <c r="G282" s="1" t="s">
        <v>351</v>
      </c>
    </row>
    <row r="283" spans="1:9" x14ac:dyDescent="0.2">
      <c r="D283" s="1" t="s">
        <v>352</v>
      </c>
      <c r="F283" s="45">
        <f>SUM(F280:F282)</f>
        <v>6</v>
      </c>
    </row>
    <row r="285" spans="1:9" x14ac:dyDescent="0.2">
      <c r="D285" s="1" t="s">
        <v>353</v>
      </c>
      <c r="F285" s="1" t="s">
        <v>354</v>
      </c>
    </row>
    <row r="287" spans="1:9" x14ac:dyDescent="0.2">
      <c r="D287" s="1" t="s">
        <v>355</v>
      </c>
    </row>
    <row r="288" spans="1:9" x14ac:dyDescent="0.2">
      <c r="G288" s="1" t="s">
        <v>356</v>
      </c>
    </row>
    <row r="290" spans="2:9" x14ac:dyDescent="0.2">
      <c r="D290" s="1" t="s">
        <v>357</v>
      </c>
      <c r="F290" s="1" t="s">
        <v>358</v>
      </c>
      <c r="H290" s="1" t="s">
        <v>359</v>
      </c>
    </row>
    <row r="291" spans="2:9" x14ac:dyDescent="0.2">
      <c r="B291" s="19"/>
      <c r="C291" s="19"/>
      <c r="D291" s="19" t="s">
        <v>301</v>
      </c>
      <c r="E291" s="19"/>
      <c r="F291" s="19"/>
      <c r="G291" s="19"/>
      <c r="H291" s="19"/>
      <c r="I291" s="19"/>
    </row>
    <row r="292" spans="2:9" x14ac:dyDescent="0.2">
      <c r="C292" s="56">
        <v>45107</v>
      </c>
      <c r="D292" s="56">
        <v>44834</v>
      </c>
      <c r="E292" s="56">
        <v>44742</v>
      </c>
      <c r="F292" s="57">
        <v>44561</v>
      </c>
      <c r="G292" s="56">
        <v>44377</v>
      </c>
      <c r="H292" s="57">
        <v>44196</v>
      </c>
      <c r="I292" s="56">
        <v>44012</v>
      </c>
    </row>
    <row r="295" spans="2:9" x14ac:dyDescent="0.2">
      <c r="I295" s="1" t="s">
        <v>360</v>
      </c>
    </row>
    <row r="296" spans="2:9" x14ac:dyDescent="0.2">
      <c r="C296" s="1" t="s">
        <v>361</v>
      </c>
      <c r="F296" s="1" t="s">
        <v>362</v>
      </c>
      <c r="I296" s="1" t="s">
        <v>363</v>
      </c>
    </row>
    <row r="297" spans="2:9" x14ac:dyDescent="0.2">
      <c r="I297" s="31">
        <f>95000*6*0.5/21</f>
        <v>13571.428571428571</v>
      </c>
    </row>
    <row r="298" spans="2:9" x14ac:dyDescent="0.2">
      <c r="I298" s="1" t="s">
        <v>100</v>
      </c>
    </row>
    <row r="299" spans="2:9" x14ac:dyDescent="0.2">
      <c r="D299" s="1" t="s">
        <v>362</v>
      </c>
      <c r="I299" s="1" t="s">
        <v>364</v>
      </c>
    </row>
    <row r="300" spans="2:9" x14ac:dyDescent="0.2">
      <c r="G300" s="1" t="s">
        <v>360</v>
      </c>
      <c r="I300" s="1">
        <v>2020</v>
      </c>
    </row>
    <row r="301" spans="2:9" x14ac:dyDescent="0.2">
      <c r="D301" s="31">
        <f>95000*5*0.5/21+95000*4*0.25/21</f>
        <v>15833.333333333332</v>
      </c>
    </row>
    <row r="302" spans="2:9" x14ac:dyDescent="0.2">
      <c r="D302" s="1" t="s">
        <v>365</v>
      </c>
      <c r="G302" s="1" t="s">
        <v>363</v>
      </c>
    </row>
    <row r="303" spans="2:9" x14ac:dyDescent="0.2">
      <c r="G303" s="31">
        <f>95000*(6*6/12)/21+95000*5*0.5/21</f>
        <v>24880.952380952382</v>
      </c>
    </row>
    <row r="304" spans="2:9" x14ac:dyDescent="0.2">
      <c r="G304" s="1" t="s">
        <v>366</v>
      </c>
    </row>
    <row r="307" spans="1:8" x14ac:dyDescent="0.2">
      <c r="D307" s="2" t="s">
        <v>367</v>
      </c>
    </row>
    <row r="313" spans="1:8" x14ac:dyDescent="0.2">
      <c r="A313" s="58" t="s">
        <v>368</v>
      </c>
      <c r="B313" s="59"/>
      <c r="C313" s="59"/>
      <c r="D313" s="59"/>
      <c r="E313" s="59"/>
      <c r="F313" s="59"/>
      <c r="G313" s="59"/>
      <c r="H313" s="58" t="s">
        <v>369</v>
      </c>
    </row>
    <row r="314" spans="1:8" x14ac:dyDescent="0.2">
      <c r="H314" s="1" t="s">
        <v>370</v>
      </c>
    </row>
    <row r="315" spans="1:8" x14ac:dyDescent="0.2">
      <c r="H315" s="1" t="s">
        <v>371</v>
      </c>
    </row>
    <row r="316" spans="1:8" x14ac:dyDescent="0.2">
      <c r="H316" s="1" t="s">
        <v>372</v>
      </c>
    </row>
    <row r="317" spans="1:8" x14ac:dyDescent="0.2">
      <c r="H317" s="1" t="s">
        <v>373</v>
      </c>
    </row>
    <row r="318" spans="1:8" x14ac:dyDescent="0.2">
      <c r="H318" s="1" t="s">
        <v>374</v>
      </c>
    </row>
    <row r="319" spans="1:8" x14ac:dyDescent="0.2">
      <c r="H319" s="1" t="s">
        <v>375</v>
      </c>
    </row>
    <row r="320" spans="1:8" x14ac:dyDescent="0.2">
      <c r="H320" s="1" t="s">
        <v>376</v>
      </c>
    </row>
    <row r="321" spans="1:8" x14ac:dyDescent="0.2">
      <c r="H321" s="1" t="s">
        <v>377</v>
      </c>
    </row>
    <row r="322" spans="1:8" x14ac:dyDescent="0.2">
      <c r="H322" s="1" t="s">
        <v>378</v>
      </c>
    </row>
    <row r="323" spans="1:8" x14ac:dyDescent="0.2">
      <c r="H323" s="1" t="s">
        <v>379</v>
      </c>
    </row>
    <row r="324" spans="1:8" x14ac:dyDescent="0.2">
      <c r="H324" s="1" t="s">
        <v>380</v>
      </c>
    </row>
    <row r="325" spans="1:8" x14ac:dyDescent="0.2">
      <c r="H325" s="1" t="s">
        <v>381</v>
      </c>
    </row>
    <row r="326" spans="1:8" x14ac:dyDescent="0.2">
      <c r="H326" s="1" t="s">
        <v>382</v>
      </c>
    </row>
    <row r="328" spans="1:8" x14ac:dyDescent="0.2">
      <c r="A328" s="58" t="s">
        <v>383</v>
      </c>
      <c r="B328" s="59"/>
      <c r="C328" s="59"/>
      <c r="D328" s="59"/>
      <c r="E328" s="59"/>
      <c r="F328" s="59"/>
      <c r="G328" s="59"/>
      <c r="H328" s="59"/>
    </row>
    <row r="329" spans="1:8" x14ac:dyDescent="0.2">
      <c r="A329" s="1" t="s">
        <v>384</v>
      </c>
    </row>
    <row r="330" spans="1:8" x14ac:dyDescent="0.2">
      <c r="A330" s="1" t="s">
        <v>385</v>
      </c>
    </row>
    <row r="331" spans="1:8" x14ac:dyDescent="0.2">
      <c r="A331" s="1" t="s">
        <v>386</v>
      </c>
    </row>
    <row r="333" spans="1:8" x14ac:dyDescent="0.2">
      <c r="A333" s="3" t="s">
        <v>387</v>
      </c>
      <c r="B333" s="3"/>
      <c r="C333" s="3"/>
      <c r="D333" s="3"/>
      <c r="E333" s="3"/>
      <c r="F333" s="3"/>
      <c r="G333" s="3"/>
      <c r="H333" s="3"/>
    </row>
    <row r="334" spans="1:8" x14ac:dyDescent="0.2">
      <c r="A334" s="1" t="s">
        <v>388</v>
      </c>
    </row>
    <row r="335" spans="1:8" x14ac:dyDescent="0.2">
      <c r="A335" s="1" t="s">
        <v>389</v>
      </c>
    </row>
    <row r="336" spans="1:8" x14ac:dyDescent="0.2">
      <c r="A336" s="1" t="s">
        <v>390</v>
      </c>
    </row>
    <row r="337" spans="1:8" x14ac:dyDescent="0.2">
      <c r="A337" s="1" t="s">
        <v>391</v>
      </c>
    </row>
    <row r="338" spans="1:8" x14ac:dyDescent="0.2">
      <c r="A338" s="1" t="s">
        <v>392</v>
      </c>
    </row>
    <row r="339" spans="1:8" x14ac:dyDescent="0.2">
      <c r="A339" s="1" t="s">
        <v>393</v>
      </c>
    </row>
    <row r="341" spans="1:8" x14ac:dyDescent="0.2">
      <c r="A341" s="1" t="s">
        <v>394</v>
      </c>
    </row>
    <row r="342" spans="1:8" s="47" customFormat="1" x14ac:dyDescent="0.2"/>
    <row r="343" spans="1:8" s="47" customFormat="1" x14ac:dyDescent="0.2">
      <c r="A343" s="47" t="s">
        <v>395</v>
      </c>
    </row>
    <row r="344" spans="1:8" s="47" customFormat="1" x14ac:dyDescent="0.2">
      <c r="A344" s="47" t="s">
        <v>396</v>
      </c>
    </row>
    <row r="345" spans="1:8" s="47" customFormat="1" x14ac:dyDescent="0.2">
      <c r="A345" s="47" t="s">
        <v>397</v>
      </c>
    </row>
    <row r="346" spans="1:8" s="47" customFormat="1" x14ac:dyDescent="0.2"/>
    <row r="347" spans="1:8" s="47" customFormat="1" x14ac:dyDescent="0.2"/>
    <row r="348" spans="1:8" x14ac:dyDescent="0.2">
      <c r="A348" s="58" t="s">
        <v>398</v>
      </c>
      <c r="B348" s="58"/>
      <c r="C348" s="58"/>
      <c r="D348" s="58"/>
      <c r="E348" s="58"/>
      <c r="F348" s="58"/>
      <c r="G348" s="58"/>
      <c r="H348" s="58" t="s">
        <v>399</v>
      </c>
    </row>
    <row r="349" spans="1:8" x14ac:dyDescent="0.2">
      <c r="H349" s="1" t="s">
        <v>400</v>
      </c>
    </row>
    <row r="350" spans="1:8" x14ac:dyDescent="0.2">
      <c r="H350" s="1" t="s">
        <v>401</v>
      </c>
    </row>
    <row r="351" spans="1:8" x14ac:dyDescent="0.2">
      <c r="H351" s="1" t="s">
        <v>402</v>
      </c>
    </row>
    <row r="352" spans="1:8" x14ac:dyDescent="0.2">
      <c r="H352" s="1" t="s">
        <v>403</v>
      </c>
    </row>
    <row r="353" spans="1:8" x14ac:dyDescent="0.2">
      <c r="H353" s="1" t="s">
        <v>404</v>
      </c>
    </row>
    <row r="355" spans="1:8" x14ac:dyDescent="0.2">
      <c r="A355" s="58" t="s">
        <v>383</v>
      </c>
      <c r="B355" s="58"/>
      <c r="C355" s="58"/>
      <c r="D355" s="58"/>
      <c r="E355" s="58"/>
      <c r="F355" s="58"/>
      <c r="G355" s="58"/>
      <c r="H355" s="58"/>
    </row>
    <row r="356" spans="1:8" x14ac:dyDescent="0.2">
      <c r="A356" s="1" t="s">
        <v>405</v>
      </c>
    </row>
    <row r="357" spans="1:8" x14ac:dyDescent="0.2">
      <c r="A357" s="1" t="s">
        <v>406</v>
      </c>
    </row>
    <row r="358" spans="1:8" x14ac:dyDescent="0.2">
      <c r="A358" s="1" t="s">
        <v>407</v>
      </c>
    </row>
    <row r="362" spans="1:8" x14ac:dyDescent="0.2">
      <c r="A362" s="3" t="s">
        <v>408</v>
      </c>
      <c r="B362" s="3"/>
      <c r="C362" s="3"/>
      <c r="D362" s="3"/>
      <c r="E362" s="3"/>
      <c r="F362" s="3"/>
      <c r="G362" s="3"/>
      <c r="H362" s="3"/>
    </row>
    <row r="363" spans="1:8" x14ac:dyDescent="0.2">
      <c r="A363" s="60" t="s">
        <v>409</v>
      </c>
      <c r="B363" s="60"/>
      <c r="C363" s="60"/>
      <c r="D363" s="60"/>
      <c r="E363" s="60"/>
      <c r="F363" s="60"/>
      <c r="G363" s="60"/>
      <c r="H363" s="60"/>
    </row>
    <row r="364" spans="1:8" x14ac:dyDescent="0.2">
      <c r="A364" s="60" t="s">
        <v>410</v>
      </c>
      <c r="B364" s="60"/>
      <c r="C364" s="60"/>
      <c r="D364" s="60"/>
      <c r="E364" s="60"/>
      <c r="F364" s="60"/>
      <c r="G364" s="60"/>
      <c r="H364" s="60"/>
    </row>
    <row r="365" spans="1:8" x14ac:dyDescent="0.2">
      <c r="A365" s="60" t="s">
        <v>411</v>
      </c>
      <c r="B365" s="60"/>
      <c r="C365" s="60"/>
      <c r="D365" s="60"/>
      <c r="E365" s="60"/>
      <c r="F365" s="60"/>
      <c r="G365" s="60"/>
      <c r="H365" s="60"/>
    </row>
    <row r="366" spans="1:8" x14ac:dyDescent="0.2">
      <c r="A366" s="60"/>
      <c r="B366" s="60"/>
      <c r="C366" s="60"/>
      <c r="D366" s="60"/>
      <c r="E366" s="60"/>
      <c r="F366" s="60"/>
      <c r="G366" s="60"/>
      <c r="H366" s="60"/>
    </row>
    <row r="367" spans="1:8" x14ac:dyDescent="0.2">
      <c r="A367" s="61" t="s">
        <v>412</v>
      </c>
      <c r="B367" s="60"/>
      <c r="C367" s="60"/>
      <c r="D367" s="60"/>
      <c r="E367" s="60"/>
      <c r="F367" s="60"/>
      <c r="G367" s="60"/>
      <c r="H367" s="60"/>
    </row>
    <row r="368" spans="1:8" x14ac:dyDescent="0.2">
      <c r="A368" s="60" t="s">
        <v>413</v>
      </c>
      <c r="B368" s="60"/>
      <c r="C368" s="60"/>
      <c r="D368" s="60"/>
      <c r="E368" s="60"/>
      <c r="F368" s="60"/>
      <c r="G368" s="60"/>
      <c r="H368" s="60"/>
    </row>
    <row r="369" spans="1:8" x14ac:dyDescent="0.2">
      <c r="A369" s="60" t="s">
        <v>414</v>
      </c>
      <c r="B369" s="60"/>
      <c r="C369" s="60"/>
      <c r="D369" s="60"/>
      <c r="E369" s="60"/>
      <c r="F369" s="60"/>
      <c r="G369" s="60"/>
      <c r="H369" s="60"/>
    </row>
    <row r="370" spans="1:8" x14ac:dyDescent="0.2">
      <c r="A370" s="60" t="s">
        <v>415</v>
      </c>
      <c r="B370" s="60"/>
      <c r="C370" s="60"/>
      <c r="D370" s="60"/>
      <c r="E370" s="60"/>
      <c r="F370" s="60"/>
      <c r="G370" s="60"/>
      <c r="H370" s="60"/>
    </row>
    <row r="371" spans="1:8" x14ac:dyDescent="0.2">
      <c r="A371" s="60" t="s">
        <v>416</v>
      </c>
      <c r="B371" s="60"/>
      <c r="C371" s="60"/>
      <c r="D371" s="60"/>
      <c r="E371" s="60"/>
      <c r="F371" s="60"/>
      <c r="G371" s="60"/>
      <c r="H371" s="60"/>
    </row>
    <row r="372" spans="1:8" x14ac:dyDescent="0.2">
      <c r="A372" s="60"/>
      <c r="B372" s="60"/>
      <c r="C372" s="60"/>
      <c r="D372" s="60"/>
      <c r="E372" s="60"/>
      <c r="F372" s="60"/>
      <c r="G372" s="60"/>
      <c r="H372" s="60"/>
    </row>
    <row r="373" spans="1:8" x14ac:dyDescent="0.2">
      <c r="A373" s="60" t="s">
        <v>417</v>
      </c>
      <c r="B373" s="60"/>
      <c r="C373" s="60"/>
      <c r="D373" s="60"/>
      <c r="E373" s="60"/>
      <c r="F373" s="60"/>
      <c r="G373" s="60"/>
      <c r="H373" s="60"/>
    </row>
    <row r="374" spans="1:8" x14ac:dyDescent="0.2">
      <c r="A374" s="60" t="s">
        <v>418</v>
      </c>
      <c r="B374" s="60"/>
      <c r="C374" s="60"/>
      <c r="D374" s="60"/>
      <c r="E374" s="60"/>
      <c r="F374" s="60"/>
      <c r="G374" s="60"/>
      <c r="H374" s="60"/>
    </row>
    <row r="375" spans="1:8" ht="17" thickBot="1" x14ac:dyDescent="0.25">
      <c r="A375" s="60"/>
      <c r="B375" s="60"/>
      <c r="C375" s="60"/>
      <c r="D375" s="60"/>
      <c r="E375" s="60"/>
      <c r="F375" s="60"/>
      <c r="G375" s="60"/>
      <c r="H375" s="60"/>
    </row>
    <row r="376" spans="1:8" s="2" customFormat="1" x14ac:dyDescent="0.2">
      <c r="A376" s="62" t="s">
        <v>419</v>
      </c>
      <c r="B376" s="63"/>
      <c r="C376" s="63"/>
      <c r="D376" s="63"/>
      <c r="E376" s="63"/>
      <c r="F376" s="63"/>
      <c r="G376" s="63"/>
      <c r="H376" s="64"/>
    </row>
    <row r="377" spans="1:8" s="2" customFormat="1" ht="17" thickBot="1" x14ac:dyDescent="0.25">
      <c r="A377" s="65" t="s">
        <v>420</v>
      </c>
      <c r="B377" s="66"/>
      <c r="C377" s="66"/>
      <c r="D377" s="66"/>
      <c r="E377" s="66"/>
      <c r="F377" s="66"/>
      <c r="G377" s="66"/>
      <c r="H377" s="67"/>
    </row>
    <row r="381" spans="1:8" x14ac:dyDescent="0.2">
      <c r="A381" s="58" t="s">
        <v>398</v>
      </c>
      <c r="B381" s="58"/>
      <c r="C381" s="58"/>
      <c r="D381" s="58"/>
      <c r="E381" s="58"/>
      <c r="F381" s="58"/>
      <c r="G381" s="58"/>
      <c r="H381" s="58" t="s">
        <v>421</v>
      </c>
    </row>
    <row r="382" spans="1:8" x14ac:dyDescent="0.2">
      <c r="H382" s="1" t="s">
        <v>422</v>
      </c>
    </row>
    <row r="383" spans="1:8" x14ac:dyDescent="0.2">
      <c r="H383" s="1" t="s">
        <v>423</v>
      </c>
    </row>
    <row r="384" spans="1:8" x14ac:dyDescent="0.2">
      <c r="H384" s="1" t="s">
        <v>424</v>
      </c>
    </row>
    <row r="385" spans="1:8" x14ac:dyDescent="0.2">
      <c r="H385" s="1" t="s">
        <v>425</v>
      </c>
    </row>
    <row r="386" spans="1:8" x14ac:dyDescent="0.2">
      <c r="H386" s="1" t="s">
        <v>426</v>
      </c>
    </row>
    <row r="387" spans="1:8" x14ac:dyDescent="0.2">
      <c r="H387" s="1" t="s">
        <v>427</v>
      </c>
    </row>
    <row r="388" spans="1:8" x14ac:dyDescent="0.2">
      <c r="H388" s="1" t="s">
        <v>428</v>
      </c>
    </row>
    <row r="389" spans="1:8" x14ac:dyDescent="0.2">
      <c r="H389" s="1" t="s">
        <v>429</v>
      </c>
    </row>
    <row r="390" spans="1:8" x14ac:dyDescent="0.2">
      <c r="H390" s="1" t="s">
        <v>430</v>
      </c>
    </row>
    <row r="392" spans="1:8" x14ac:dyDescent="0.2">
      <c r="A392" s="58" t="s">
        <v>383</v>
      </c>
      <c r="B392" s="58"/>
      <c r="C392" s="58"/>
      <c r="D392" s="58"/>
      <c r="E392" s="58"/>
      <c r="F392" s="58"/>
      <c r="G392" s="58"/>
      <c r="H392" s="58"/>
    </row>
    <row r="393" spans="1:8" x14ac:dyDescent="0.2">
      <c r="A393" s="1" t="s">
        <v>431</v>
      </c>
    </row>
    <row r="394" spans="1:8" x14ac:dyDescent="0.2">
      <c r="A394" s="1" t="s">
        <v>432</v>
      </c>
    </row>
    <row r="395" spans="1:8" x14ac:dyDescent="0.2">
      <c r="A395" s="1" t="s">
        <v>433</v>
      </c>
    </row>
    <row r="396" spans="1:8" x14ac:dyDescent="0.2">
      <c r="A396" s="1" t="s">
        <v>434</v>
      </c>
    </row>
    <row r="397" spans="1:8" x14ac:dyDescent="0.2">
      <c r="A397" s="1" t="s">
        <v>435</v>
      </c>
    </row>
    <row r="399" spans="1:8" x14ac:dyDescent="0.2">
      <c r="A399" s="3" t="s">
        <v>436</v>
      </c>
      <c r="B399" s="3"/>
      <c r="C399" s="3"/>
      <c r="D399" s="3"/>
      <c r="E399" s="3"/>
      <c r="F399" s="3"/>
      <c r="G399" s="3"/>
      <c r="H399" s="3"/>
    </row>
    <row r="400" spans="1:8" x14ac:dyDescent="0.2">
      <c r="A400" s="1" t="s">
        <v>437</v>
      </c>
    </row>
    <row r="401" spans="1:7" x14ac:dyDescent="0.2">
      <c r="A401" s="1" t="s">
        <v>438</v>
      </c>
    </row>
    <row r="403" spans="1:7" x14ac:dyDescent="0.2">
      <c r="A403" s="2" t="s">
        <v>433</v>
      </c>
    </row>
    <row r="404" spans="1:7" x14ac:dyDescent="0.2">
      <c r="A404" s="1" t="s">
        <v>439</v>
      </c>
    </row>
    <row r="405" spans="1:7" x14ac:dyDescent="0.2">
      <c r="A405" s="1" t="s">
        <v>440</v>
      </c>
    </row>
    <row r="406" spans="1:7" x14ac:dyDescent="0.2">
      <c r="A406" s="1" t="s">
        <v>441</v>
      </c>
    </row>
    <row r="408" spans="1:7" x14ac:dyDescent="0.2">
      <c r="C408" s="1" t="s">
        <v>442</v>
      </c>
    </row>
    <row r="409" spans="1:7" x14ac:dyDescent="0.2">
      <c r="C409" s="1" t="s">
        <v>95</v>
      </c>
      <c r="E409" s="23">
        <v>20000</v>
      </c>
    </row>
    <row r="410" spans="1:7" ht="17" thickBot="1" x14ac:dyDescent="0.25">
      <c r="C410" s="1" t="s">
        <v>443</v>
      </c>
      <c r="E410" s="1">
        <f>-E409/10*7</f>
        <v>-14000</v>
      </c>
      <c r="G410" s="1" t="s">
        <v>444</v>
      </c>
    </row>
    <row r="411" spans="1:7" ht="17" thickBot="1" x14ac:dyDescent="0.25">
      <c r="C411" s="1" t="s">
        <v>445</v>
      </c>
      <c r="E411" s="68">
        <f>E409+E410</f>
        <v>6000</v>
      </c>
    </row>
    <row r="413" spans="1:7" x14ac:dyDescent="0.2">
      <c r="A413" s="1" t="s">
        <v>446</v>
      </c>
      <c r="C413" s="1" t="s">
        <v>447</v>
      </c>
      <c r="F413" s="23">
        <f>E409</f>
        <v>20000</v>
      </c>
    </row>
    <row r="414" spans="1:7" x14ac:dyDescent="0.2">
      <c r="A414" s="1" t="s">
        <v>448</v>
      </c>
      <c r="C414" s="1" t="s">
        <v>449</v>
      </c>
      <c r="F414" s="23">
        <f>-E410</f>
        <v>14000</v>
      </c>
    </row>
    <row r="415" spans="1:7" x14ac:dyDescent="0.2">
      <c r="A415" s="1" t="s">
        <v>450</v>
      </c>
      <c r="C415" s="1" t="s">
        <v>451</v>
      </c>
      <c r="F415" s="23">
        <f>E411</f>
        <v>6000</v>
      </c>
    </row>
    <row r="416" spans="1:7" x14ac:dyDescent="0.2">
      <c r="E416" s="23"/>
    </row>
    <row r="417" spans="1:8" x14ac:dyDescent="0.2">
      <c r="A417" s="2" t="s">
        <v>434</v>
      </c>
      <c r="E417" s="23"/>
    </row>
    <row r="418" spans="1:8" x14ac:dyDescent="0.2">
      <c r="E418" s="23"/>
    </row>
    <row r="419" spans="1:8" x14ac:dyDescent="0.2">
      <c r="A419" s="2" t="s">
        <v>452</v>
      </c>
      <c r="E419" s="23"/>
    </row>
    <row r="420" spans="1:8" x14ac:dyDescent="0.2">
      <c r="C420" s="1" t="s">
        <v>453</v>
      </c>
      <c r="E420" s="23">
        <v>18000</v>
      </c>
    </row>
    <row r="421" spans="1:8" x14ac:dyDescent="0.2">
      <c r="C421" s="1" t="s">
        <v>454</v>
      </c>
      <c r="E421" s="23">
        <f>E420</f>
        <v>18000</v>
      </c>
    </row>
    <row r="426" spans="1:8" x14ac:dyDescent="0.2">
      <c r="A426" s="58" t="s">
        <v>455</v>
      </c>
      <c r="B426" s="59"/>
      <c r="C426" s="59"/>
      <c r="D426" s="59"/>
      <c r="E426" s="59"/>
      <c r="F426" s="59"/>
      <c r="G426" s="59"/>
      <c r="H426" s="58" t="s">
        <v>456</v>
      </c>
    </row>
    <row r="427" spans="1:8" x14ac:dyDescent="0.2">
      <c r="H427" s="1" t="s">
        <v>457</v>
      </c>
    </row>
    <row r="428" spans="1:8" x14ac:dyDescent="0.2">
      <c r="H428" s="1" t="s">
        <v>458</v>
      </c>
    </row>
    <row r="429" spans="1:8" x14ac:dyDescent="0.2">
      <c r="H429" s="1" t="s">
        <v>459</v>
      </c>
    </row>
    <row r="430" spans="1:8" x14ac:dyDescent="0.2">
      <c r="H430" s="1" t="s">
        <v>460</v>
      </c>
    </row>
    <row r="431" spans="1:8" x14ac:dyDescent="0.2">
      <c r="H431" s="1" t="s">
        <v>461</v>
      </c>
    </row>
    <row r="432" spans="1:8" x14ac:dyDescent="0.2">
      <c r="H432" s="1" t="s">
        <v>462</v>
      </c>
    </row>
    <row r="433" spans="1:8" x14ac:dyDescent="0.2">
      <c r="H433" s="1" t="s">
        <v>463</v>
      </c>
    </row>
    <row r="434" spans="1:8" x14ac:dyDescent="0.2">
      <c r="H434" s="1" t="s">
        <v>464</v>
      </c>
    </row>
    <row r="435" spans="1:8" x14ac:dyDescent="0.2">
      <c r="H435" s="1" t="s">
        <v>465</v>
      </c>
    </row>
    <row r="436" spans="1:8" x14ac:dyDescent="0.2">
      <c r="H436" s="1" t="s">
        <v>466</v>
      </c>
    </row>
    <row r="437" spans="1:8" x14ac:dyDescent="0.2">
      <c r="H437" s="1" t="s">
        <v>467</v>
      </c>
    </row>
    <row r="438" spans="1:8" x14ac:dyDescent="0.2">
      <c r="H438" s="1" t="s">
        <v>468</v>
      </c>
    </row>
    <row r="439" spans="1:8" x14ac:dyDescent="0.2">
      <c r="H439" s="1" t="s">
        <v>469</v>
      </c>
    </row>
    <row r="440" spans="1:8" x14ac:dyDescent="0.2">
      <c r="H440" s="1" t="s">
        <v>470</v>
      </c>
    </row>
    <row r="441" spans="1:8" x14ac:dyDescent="0.2">
      <c r="H441" s="1" t="s">
        <v>471</v>
      </c>
    </row>
    <row r="442" spans="1:8" x14ac:dyDescent="0.2">
      <c r="H442" s="1" t="s">
        <v>472</v>
      </c>
    </row>
    <row r="443" spans="1:8" x14ac:dyDescent="0.2">
      <c r="H443" s="1" t="s">
        <v>473</v>
      </c>
    </row>
    <row r="444" spans="1:8" x14ac:dyDescent="0.2">
      <c r="H444" s="1" t="s">
        <v>474</v>
      </c>
    </row>
    <row r="445" spans="1:8" x14ac:dyDescent="0.2">
      <c r="H445" s="1" t="s">
        <v>475</v>
      </c>
    </row>
    <row r="447" spans="1:8" x14ac:dyDescent="0.2">
      <c r="A447" s="58" t="s">
        <v>383</v>
      </c>
      <c r="B447" s="58"/>
      <c r="C447" s="58"/>
      <c r="D447" s="58"/>
      <c r="E447" s="58"/>
      <c r="F447" s="58"/>
      <c r="G447" s="58"/>
      <c r="H447" s="58"/>
    </row>
    <row r="448" spans="1:8" x14ac:dyDescent="0.2">
      <c r="A448" s="1" t="s">
        <v>476</v>
      </c>
    </row>
    <row r="449" spans="1:8" x14ac:dyDescent="0.2">
      <c r="A449" s="1" t="s">
        <v>477</v>
      </c>
    </row>
    <row r="450" spans="1:8" x14ac:dyDescent="0.2">
      <c r="A450" s="1" t="s">
        <v>478</v>
      </c>
    </row>
    <row r="451" spans="1:8" x14ac:dyDescent="0.2">
      <c r="A451" s="1" t="s">
        <v>479</v>
      </c>
    </row>
    <row r="452" spans="1:8" x14ac:dyDescent="0.2">
      <c r="A452" s="1" t="s">
        <v>480</v>
      </c>
    </row>
    <row r="454" spans="1:8" x14ac:dyDescent="0.2">
      <c r="A454" s="3" t="s">
        <v>481</v>
      </c>
      <c r="B454" s="3" t="s">
        <v>482</v>
      </c>
      <c r="C454" s="3"/>
      <c r="D454" s="3"/>
      <c r="E454" s="3"/>
      <c r="F454" s="3"/>
      <c r="G454" s="3"/>
      <c r="H454" s="3"/>
    </row>
    <row r="455" spans="1:8" x14ac:dyDescent="0.2">
      <c r="A455" s="1" t="s">
        <v>483</v>
      </c>
    </row>
    <row r="457" spans="1:8" x14ac:dyDescent="0.2">
      <c r="A457" s="2" t="s">
        <v>412</v>
      </c>
    </row>
    <row r="458" spans="1:8" x14ac:dyDescent="0.2">
      <c r="A458" s="1" t="s">
        <v>484</v>
      </c>
    </row>
    <row r="459" spans="1:8" x14ac:dyDescent="0.2">
      <c r="A459" s="1" t="s">
        <v>485</v>
      </c>
    </row>
  </sheetData>
  <mergeCells count="2">
    <mergeCell ref="B217:D217"/>
    <mergeCell ref="F217:H217"/>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F0FFD9-3AE9-2244-9393-781FB9F359E8}">
  <dimension ref="A1:I250"/>
  <sheetViews>
    <sheetView rightToLeft="1" topLeftCell="A245" zoomScale="206" workbookViewId="0">
      <selection activeCell="B253" sqref="B253"/>
    </sheetView>
  </sheetViews>
  <sheetFormatPr baseColWidth="10" defaultRowHeight="16" x14ac:dyDescent="0.2"/>
  <cols>
    <col min="1" max="16384" width="10.83203125" style="1"/>
  </cols>
  <sheetData>
    <row r="1" spans="1:8" x14ac:dyDescent="0.2">
      <c r="A1" s="70" t="s">
        <v>486</v>
      </c>
      <c r="B1" s="70"/>
      <c r="C1" s="70"/>
      <c r="D1" s="70"/>
      <c r="E1" s="70"/>
      <c r="F1" s="70"/>
      <c r="G1" s="70"/>
      <c r="H1" s="70"/>
    </row>
    <row r="2" spans="1:8" x14ac:dyDescent="0.2">
      <c r="A2" s="70"/>
      <c r="B2" s="70"/>
      <c r="C2" s="70"/>
      <c r="D2" s="70"/>
      <c r="E2" s="70"/>
      <c r="F2" s="70"/>
      <c r="G2" s="70"/>
      <c r="H2" s="71">
        <v>45743</v>
      </c>
    </row>
    <row r="15" spans="1:8" x14ac:dyDescent="0.2">
      <c r="A15" s="1" t="s">
        <v>487</v>
      </c>
    </row>
    <row r="16" spans="1:8" x14ac:dyDescent="0.2">
      <c r="A16" s="1" t="s">
        <v>488</v>
      </c>
    </row>
    <row r="17" spans="1:8" x14ac:dyDescent="0.2">
      <c r="A17" s="1" t="s">
        <v>489</v>
      </c>
    </row>
    <row r="18" spans="1:8" x14ac:dyDescent="0.2">
      <c r="A18" s="1" t="s">
        <v>490</v>
      </c>
    </row>
    <row r="19" spans="1:8" x14ac:dyDescent="0.2">
      <c r="A19" s="1" t="s">
        <v>491</v>
      </c>
    </row>
    <row r="21" spans="1:8" x14ac:dyDescent="0.2">
      <c r="A21" s="72" t="s">
        <v>492</v>
      </c>
      <c r="B21" s="72"/>
      <c r="C21" s="72"/>
      <c r="D21" s="72"/>
      <c r="E21" s="72"/>
      <c r="F21" s="72"/>
      <c r="G21" s="72"/>
      <c r="H21" s="72"/>
    </row>
    <row r="22" spans="1:8" x14ac:dyDescent="0.2">
      <c r="A22" s="1" t="s">
        <v>493</v>
      </c>
    </row>
    <row r="23" spans="1:8" x14ac:dyDescent="0.2">
      <c r="A23" s="1" t="s">
        <v>494</v>
      </c>
    </row>
    <row r="24" spans="1:8" x14ac:dyDescent="0.2">
      <c r="A24" s="1" t="s">
        <v>495</v>
      </c>
    </row>
    <row r="25" spans="1:8" x14ac:dyDescent="0.2">
      <c r="A25" s="1" t="s">
        <v>496</v>
      </c>
    </row>
    <row r="27" spans="1:8" x14ac:dyDescent="0.2">
      <c r="B27" s="1" t="s">
        <v>497</v>
      </c>
      <c r="D27" s="1" t="s">
        <v>501</v>
      </c>
      <c r="E27" s="1" t="s">
        <v>502</v>
      </c>
    </row>
    <row r="28" spans="1:8" x14ac:dyDescent="0.2">
      <c r="B28" s="1" t="s">
        <v>498</v>
      </c>
      <c r="D28" s="23">
        <v>250000</v>
      </c>
      <c r="E28" s="1">
        <v>10</v>
      </c>
      <c r="F28" s="1" t="s">
        <v>505</v>
      </c>
    </row>
    <row r="29" spans="1:8" x14ac:dyDescent="0.2">
      <c r="B29" s="1" t="s">
        <v>499</v>
      </c>
      <c r="D29" s="23">
        <v>200000</v>
      </c>
      <c r="E29" s="1">
        <v>5</v>
      </c>
      <c r="F29" s="1" t="s">
        <v>505</v>
      </c>
    </row>
    <row r="30" spans="1:8" x14ac:dyDescent="0.2">
      <c r="B30" s="1" t="s">
        <v>500</v>
      </c>
      <c r="D30" s="23">
        <v>1550000</v>
      </c>
      <c r="E30" s="1">
        <v>20</v>
      </c>
      <c r="F30" s="1" t="s">
        <v>505</v>
      </c>
    </row>
    <row r="32" spans="1:8" x14ac:dyDescent="0.2">
      <c r="A32" s="1" t="s">
        <v>503</v>
      </c>
    </row>
    <row r="34" spans="1:4" x14ac:dyDescent="0.2">
      <c r="A34" s="1" t="s">
        <v>504</v>
      </c>
    </row>
    <row r="36" spans="1:4" x14ac:dyDescent="0.2">
      <c r="A36" s="1" t="s">
        <v>506</v>
      </c>
    </row>
    <row r="38" spans="1:4" x14ac:dyDescent="0.2">
      <c r="C38" s="49">
        <v>44196</v>
      </c>
      <c r="D38" s="49">
        <v>44561</v>
      </c>
    </row>
    <row r="39" spans="1:4" x14ac:dyDescent="0.2">
      <c r="B39" s="1" t="s">
        <v>95</v>
      </c>
      <c r="C39" s="73">
        <v>2000000</v>
      </c>
      <c r="D39" s="73">
        <v>2000000</v>
      </c>
    </row>
    <row r="40" spans="1:4" x14ac:dyDescent="0.2">
      <c r="B40" s="1" t="s">
        <v>96</v>
      </c>
      <c r="C40" s="73">
        <f>C43</f>
        <v>142500</v>
      </c>
      <c r="D40" s="73">
        <f>C40+D43</f>
        <v>285000</v>
      </c>
    </row>
    <row r="41" spans="1:4" x14ac:dyDescent="0.2">
      <c r="B41" s="1" t="s">
        <v>99</v>
      </c>
      <c r="C41" s="74">
        <f>C39-C40</f>
        <v>1857500</v>
      </c>
      <c r="D41" s="74">
        <f>D39-D40</f>
        <v>1715000</v>
      </c>
    </row>
    <row r="42" spans="1:4" x14ac:dyDescent="0.2">
      <c r="C42" s="73"/>
      <c r="D42" s="73"/>
    </row>
    <row r="43" spans="1:4" x14ac:dyDescent="0.2">
      <c r="B43" s="1" t="s">
        <v>100</v>
      </c>
      <c r="C43" s="73">
        <f>D28/E28+D29/E29+D30/E30</f>
        <v>142500</v>
      </c>
      <c r="D43" s="73">
        <f>C43</f>
        <v>142500</v>
      </c>
    </row>
    <row r="54" spans="1:8" x14ac:dyDescent="0.2">
      <c r="A54" s="1" t="s">
        <v>507</v>
      </c>
    </row>
    <row r="55" spans="1:8" x14ac:dyDescent="0.2">
      <c r="A55" s="1" t="s">
        <v>508</v>
      </c>
    </row>
    <row r="56" spans="1:8" x14ac:dyDescent="0.2">
      <c r="A56" s="1" t="s">
        <v>509</v>
      </c>
    </row>
    <row r="57" spans="1:8" x14ac:dyDescent="0.2">
      <c r="A57" s="1" t="s">
        <v>510</v>
      </c>
    </row>
    <row r="58" spans="1:8" x14ac:dyDescent="0.2">
      <c r="A58" s="1" t="s">
        <v>511</v>
      </c>
    </row>
    <row r="60" spans="1:8" x14ac:dyDescent="0.2">
      <c r="A60" s="75" t="s">
        <v>512</v>
      </c>
      <c r="B60" s="75"/>
      <c r="C60" s="75"/>
      <c r="D60" s="75"/>
      <c r="E60" s="75"/>
      <c r="F60" s="75"/>
      <c r="G60" s="75"/>
      <c r="H60" s="75"/>
    </row>
    <row r="62" spans="1:8" x14ac:dyDescent="0.2">
      <c r="A62" s="1" t="s">
        <v>513</v>
      </c>
    </row>
    <row r="63" spans="1:8" x14ac:dyDescent="0.2">
      <c r="A63" s="1" t="s">
        <v>514</v>
      </c>
    </row>
    <row r="64" spans="1:8" x14ac:dyDescent="0.2">
      <c r="A64" s="1" t="s">
        <v>515</v>
      </c>
    </row>
    <row r="65" spans="1:8" x14ac:dyDescent="0.2">
      <c r="A65" s="1" t="s">
        <v>516</v>
      </c>
    </row>
    <row r="66" spans="1:8" x14ac:dyDescent="0.2">
      <c r="A66" s="1" t="s">
        <v>520</v>
      </c>
    </row>
    <row r="67" spans="1:8" x14ac:dyDescent="0.2">
      <c r="A67" s="1" t="s">
        <v>517</v>
      </c>
    </row>
    <row r="69" spans="1:8" x14ac:dyDescent="0.2">
      <c r="A69" s="1" t="s">
        <v>518</v>
      </c>
    </row>
    <row r="70" spans="1:8" x14ac:dyDescent="0.2">
      <c r="A70" s="1" t="s">
        <v>519</v>
      </c>
    </row>
    <row r="71" spans="1:8" x14ac:dyDescent="0.2">
      <c r="E71" s="56">
        <v>44927</v>
      </c>
      <c r="F71" s="56">
        <v>44927</v>
      </c>
    </row>
    <row r="72" spans="1:8" x14ac:dyDescent="0.2">
      <c r="E72" s="19" t="s">
        <v>296</v>
      </c>
      <c r="F72" s="19" t="s">
        <v>296</v>
      </c>
    </row>
    <row r="73" spans="1:8" x14ac:dyDescent="0.2">
      <c r="E73" s="19" t="s">
        <v>533</v>
      </c>
      <c r="F73" s="19" t="s">
        <v>535</v>
      </c>
    </row>
    <row r="74" spans="1:8" x14ac:dyDescent="0.2">
      <c r="B74" s="36">
        <v>44196</v>
      </c>
      <c r="C74" s="36">
        <v>44561</v>
      </c>
      <c r="D74" s="36">
        <v>44926</v>
      </c>
      <c r="E74" s="40" t="s">
        <v>497</v>
      </c>
      <c r="F74" s="40" t="s">
        <v>536</v>
      </c>
      <c r="G74" s="36">
        <v>45291</v>
      </c>
      <c r="H74" s="36">
        <v>45657</v>
      </c>
    </row>
    <row r="75" spans="1:8" x14ac:dyDescent="0.2">
      <c r="A75" s="1" t="s">
        <v>95</v>
      </c>
      <c r="B75" s="38">
        <v>500000</v>
      </c>
      <c r="C75" s="38">
        <v>500000</v>
      </c>
      <c r="D75" s="38">
        <v>500000</v>
      </c>
      <c r="E75" s="38">
        <f>D75-150000</f>
        <v>350000</v>
      </c>
      <c r="F75" s="38">
        <f>E75+150000</f>
        <v>500000</v>
      </c>
      <c r="G75" s="38">
        <f>F75</f>
        <v>500000</v>
      </c>
      <c r="H75" s="38">
        <f>G75</f>
        <v>500000</v>
      </c>
    </row>
    <row r="76" spans="1:8" x14ac:dyDescent="0.2">
      <c r="A76" s="1" t="s">
        <v>96</v>
      </c>
      <c r="B76" s="38">
        <f>B79</f>
        <v>100000</v>
      </c>
      <c r="C76" s="38">
        <f>B76+C79</f>
        <v>200000</v>
      </c>
      <c r="D76" s="38">
        <f>C76+D79</f>
        <v>300000</v>
      </c>
      <c r="E76" s="38">
        <f>D76-90000</f>
        <v>210000</v>
      </c>
      <c r="F76" s="38">
        <f>E76</f>
        <v>210000</v>
      </c>
      <c r="G76" s="38">
        <f>F76+G79</f>
        <v>355000</v>
      </c>
      <c r="H76" s="38">
        <f>G76+H79</f>
        <v>500000</v>
      </c>
    </row>
    <row r="77" spans="1:8" x14ac:dyDescent="0.2">
      <c r="A77" s="1" t="s">
        <v>99</v>
      </c>
      <c r="B77" s="39">
        <f t="shared" ref="B77:H77" si="0">B75-B76</f>
        <v>400000</v>
      </c>
      <c r="C77" s="39">
        <f t="shared" si="0"/>
        <v>300000</v>
      </c>
      <c r="D77" s="39">
        <f t="shared" si="0"/>
        <v>200000</v>
      </c>
      <c r="E77" s="39">
        <f t="shared" si="0"/>
        <v>140000</v>
      </c>
      <c r="F77" s="39">
        <f t="shared" si="0"/>
        <v>290000</v>
      </c>
      <c r="G77" s="39">
        <f t="shared" si="0"/>
        <v>145000</v>
      </c>
      <c r="H77" s="39">
        <f t="shared" si="0"/>
        <v>0</v>
      </c>
    </row>
    <row r="78" spans="1:8" x14ac:dyDescent="0.2">
      <c r="B78" s="38"/>
      <c r="C78" s="38"/>
      <c r="D78" s="38"/>
      <c r="E78" s="19"/>
      <c r="F78" s="19"/>
      <c r="G78" s="19"/>
      <c r="H78" s="19"/>
    </row>
    <row r="79" spans="1:8" x14ac:dyDescent="0.2">
      <c r="A79" s="1" t="s">
        <v>100</v>
      </c>
      <c r="B79" s="38">
        <f>B75/5</f>
        <v>100000</v>
      </c>
      <c r="C79" s="38">
        <f>C75/5</f>
        <v>100000</v>
      </c>
      <c r="D79" s="38">
        <f>D75/5</f>
        <v>100000</v>
      </c>
      <c r="E79" s="19"/>
      <c r="F79" s="19"/>
      <c r="G79" s="19">
        <f>F77/2</f>
        <v>145000</v>
      </c>
      <c r="H79" s="19">
        <f>G79</f>
        <v>145000</v>
      </c>
    </row>
    <row r="80" spans="1:8" x14ac:dyDescent="0.2">
      <c r="B80" s="38"/>
      <c r="C80" s="38"/>
      <c r="D80" s="38"/>
      <c r="E80" s="19"/>
      <c r="F80" s="19"/>
      <c r="G80" s="19"/>
      <c r="H80" s="19"/>
    </row>
    <row r="81" spans="1:8" x14ac:dyDescent="0.2">
      <c r="A81" s="1" t="s">
        <v>534</v>
      </c>
      <c r="B81" s="38"/>
      <c r="C81" s="38"/>
      <c r="D81" s="38"/>
      <c r="E81" s="314">
        <f>F95</f>
        <v>60000</v>
      </c>
      <c r="F81" s="314"/>
      <c r="G81" s="38">
        <f>E81</f>
        <v>60000</v>
      </c>
      <c r="H81" s="19"/>
    </row>
    <row r="83" spans="1:8" x14ac:dyDescent="0.2">
      <c r="A83" s="1" t="s">
        <v>521</v>
      </c>
    </row>
    <row r="84" spans="1:8" x14ac:dyDescent="0.2">
      <c r="B84" s="1" t="s">
        <v>522</v>
      </c>
    </row>
    <row r="85" spans="1:8" x14ac:dyDescent="0.2">
      <c r="B85" s="1" t="s">
        <v>523</v>
      </c>
    </row>
    <row r="87" spans="1:8" x14ac:dyDescent="0.2">
      <c r="A87" s="1" t="s">
        <v>524</v>
      </c>
    </row>
    <row r="88" spans="1:8" x14ac:dyDescent="0.2">
      <c r="B88" s="1" t="s">
        <v>525</v>
      </c>
    </row>
    <row r="89" spans="1:8" x14ac:dyDescent="0.2">
      <c r="B89" s="1" t="s">
        <v>526</v>
      </c>
    </row>
    <row r="90" spans="1:8" x14ac:dyDescent="0.2">
      <c r="B90" s="1" t="s">
        <v>527</v>
      </c>
    </row>
    <row r="91" spans="1:8" x14ac:dyDescent="0.2">
      <c r="B91" s="1" t="s">
        <v>528</v>
      </c>
    </row>
    <row r="93" spans="1:8" x14ac:dyDescent="0.2">
      <c r="C93" s="1" t="s">
        <v>529</v>
      </c>
      <c r="F93" s="23">
        <v>150000</v>
      </c>
    </row>
    <row r="94" spans="1:8" x14ac:dyDescent="0.2">
      <c r="C94" s="1" t="s">
        <v>530</v>
      </c>
      <c r="F94" s="23">
        <v>90000</v>
      </c>
      <c r="H94" s="1" t="s">
        <v>531</v>
      </c>
    </row>
    <row r="95" spans="1:8" x14ac:dyDescent="0.2">
      <c r="C95" s="1" t="s">
        <v>532</v>
      </c>
      <c r="F95" s="23">
        <f>F93-F94</f>
        <v>60000</v>
      </c>
    </row>
    <row r="97" spans="1:8" x14ac:dyDescent="0.2">
      <c r="A97" s="75" t="s">
        <v>537</v>
      </c>
      <c r="B97" s="75"/>
      <c r="C97" s="75"/>
      <c r="D97" s="75"/>
      <c r="E97" s="75"/>
      <c r="F97" s="75"/>
      <c r="G97" s="75"/>
      <c r="H97" s="75"/>
    </row>
    <row r="99" spans="1:8" x14ac:dyDescent="0.2">
      <c r="A99" s="1" t="s">
        <v>538</v>
      </c>
    </row>
    <row r="100" spans="1:8" x14ac:dyDescent="0.2">
      <c r="A100" s="1" t="s">
        <v>539</v>
      </c>
    </row>
    <row r="101" spans="1:8" x14ac:dyDescent="0.2">
      <c r="A101" s="1" t="s">
        <v>540</v>
      </c>
    </row>
    <row r="102" spans="1:8" x14ac:dyDescent="0.2">
      <c r="A102" s="1" t="s">
        <v>541</v>
      </c>
    </row>
    <row r="103" spans="1:8" x14ac:dyDescent="0.2">
      <c r="A103" s="1" t="s">
        <v>542</v>
      </c>
    </row>
    <row r="104" spans="1:8" x14ac:dyDescent="0.2">
      <c r="A104" s="1" t="s">
        <v>543</v>
      </c>
    </row>
    <row r="105" spans="1:8" x14ac:dyDescent="0.2">
      <c r="A105" s="1" t="s">
        <v>544</v>
      </c>
    </row>
    <row r="106" spans="1:8" x14ac:dyDescent="0.2">
      <c r="A106" s="1" t="s">
        <v>545</v>
      </c>
    </row>
    <row r="108" spans="1:8" x14ac:dyDescent="0.2">
      <c r="A108" s="1" t="s">
        <v>546</v>
      </c>
    </row>
    <row r="110" spans="1:8" x14ac:dyDescent="0.2">
      <c r="C110" s="19"/>
      <c r="D110" s="19" t="s">
        <v>549</v>
      </c>
      <c r="E110" s="19" t="s">
        <v>550</v>
      </c>
      <c r="F110" s="19"/>
    </row>
    <row r="111" spans="1:8" x14ac:dyDescent="0.2">
      <c r="C111" s="36">
        <v>44196</v>
      </c>
      <c r="D111" s="36">
        <v>44378</v>
      </c>
      <c r="E111" s="36">
        <v>44378</v>
      </c>
      <c r="F111" s="36">
        <v>44561</v>
      </c>
      <c r="G111" s="36">
        <v>44926</v>
      </c>
    </row>
    <row r="112" spans="1:8" x14ac:dyDescent="0.2">
      <c r="B112" s="1" t="s">
        <v>95</v>
      </c>
      <c r="C112" s="21">
        <v>7200</v>
      </c>
      <c r="D112" s="21">
        <f>C112</f>
        <v>7200</v>
      </c>
      <c r="E112" s="21">
        <f>D112-G127+1000</f>
        <v>7200</v>
      </c>
      <c r="F112" s="21">
        <f>E112</f>
        <v>7200</v>
      </c>
      <c r="G112" s="21">
        <f>F112</f>
        <v>7200</v>
      </c>
    </row>
    <row r="113" spans="2:9" x14ac:dyDescent="0.2">
      <c r="B113" s="1" t="s">
        <v>96</v>
      </c>
      <c r="C113" s="21">
        <f>-C118</f>
        <v>-2400</v>
      </c>
      <c r="D113" s="21">
        <f>C113-D118</f>
        <v>-3600</v>
      </c>
      <c r="E113" s="21">
        <f>D113+G128</f>
        <v>-3100</v>
      </c>
      <c r="F113" s="21">
        <f>E113-E114/1.5*0.5</f>
        <v>-4466.666666666667</v>
      </c>
      <c r="G113" s="21">
        <f>F113-G118</f>
        <v>-7200</v>
      </c>
    </row>
    <row r="114" spans="2:9" x14ac:dyDescent="0.2">
      <c r="B114" s="1" t="s">
        <v>99</v>
      </c>
      <c r="C114" s="76">
        <f>C112+C113</f>
        <v>4800</v>
      </c>
      <c r="D114" s="76">
        <f>D112+D113</f>
        <v>3600</v>
      </c>
      <c r="E114" s="76">
        <f>E112+E113</f>
        <v>4100</v>
      </c>
      <c r="F114" s="76">
        <f>F112+F113</f>
        <v>2733.333333333333</v>
      </c>
      <c r="G114" s="76">
        <f>G112+G113</f>
        <v>0</v>
      </c>
    </row>
    <row r="115" spans="2:9" x14ac:dyDescent="0.2">
      <c r="C115" s="21"/>
      <c r="D115" s="21"/>
      <c r="E115" s="21"/>
      <c r="F115" s="21"/>
      <c r="G115" s="21"/>
    </row>
    <row r="116" spans="2:9" x14ac:dyDescent="0.2">
      <c r="B116" s="1" t="s">
        <v>547</v>
      </c>
      <c r="C116" s="21">
        <v>8000</v>
      </c>
      <c r="D116" s="21">
        <v>0</v>
      </c>
      <c r="E116" s="21">
        <v>0</v>
      </c>
      <c r="F116" s="21">
        <v>0</v>
      </c>
      <c r="G116" s="21"/>
    </row>
    <row r="117" spans="2:9" x14ac:dyDescent="0.2">
      <c r="C117" s="21"/>
      <c r="D117" s="21"/>
      <c r="E117" s="21"/>
      <c r="F117" s="21"/>
      <c r="G117" s="21"/>
    </row>
    <row r="118" spans="2:9" x14ac:dyDescent="0.2">
      <c r="B118" s="1" t="s">
        <v>100</v>
      </c>
      <c r="C118" s="21">
        <f>C112/3</f>
        <v>2400</v>
      </c>
      <c r="D118" s="315">
        <f>C118/2</f>
        <v>1200</v>
      </c>
      <c r="E118" s="315"/>
      <c r="F118" s="21">
        <f>D118+E114/1.5*(6/12)</f>
        <v>2566.666666666667</v>
      </c>
      <c r="G118" s="21">
        <f>E114/1.5</f>
        <v>2733.3333333333335</v>
      </c>
    </row>
    <row r="119" spans="2:9" x14ac:dyDescent="0.2">
      <c r="B119" s="1" t="s">
        <v>548</v>
      </c>
      <c r="C119" s="21">
        <v>800</v>
      </c>
      <c r="D119" s="21"/>
      <c r="E119" s="21"/>
      <c r="F119" s="21"/>
      <c r="G119" s="21"/>
    </row>
    <row r="120" spans="2:9" x14ac:dyDescent="0.2">
      <c r="C120" s="21"/>
      <c r="D120" s="21"/>
      <c r="E120" s="21"/>
      <c r="F120" s="21"/>
      <c r="G120" s="21"/>
    </row>
    <row r="121" spans="2:9" x14ac:dyDescent="0.2">
      <c r="B121" s="1" t="s">
        <v>551</v>
      </c>
      <c r="C121" s="21"/>
      <c r="D121" s="21"/>
      <c r="E121" s="21">
        <f>G129</f>
        <v>500</v>
      </c>
      <c r="F121" s="21">
        <f>E121</f>
        <v>500</v>
      </c>
      <c r="G121" s="21"/>
    </row>
    <row r="123" spans="2:9" x14ac:dyDescent="0.2">
      <c r="B123" s="1" t="s">
        <v>552</v>
      </c>
    </row>
    <row r="124" spans="2:9" x14ac:dyDescent="0.2">
      <c r="B124" s="1" t="s">
        <v>553</v>
      </c>
    </row>
    <row r="125" spans="2:9" x14ac:dyDescent="0.2">
      <c r="B125" s="1" t="s">
        <v>554</v>
      </c>
    </row>
    <row r="127" spans="2:9" x14ac:dyDescent="0.2">
      <c r="B127" s="1" t="s">
        <v>555</v>
      </c>
      <c r="G127" s="23">
        <v>1000</v>
      </c>
    </row>
    <row r="128" spans="2:9" x14ac:dyDescent="0.2">
      <c r="B128" s="1" t="s">
        <v>556</v>
      </c>
      <c r="G128" s="1">
        <v>500</v>
      </c>
      <c r="I128" s="1" t="s">
        <v>557</v>
      </c>
    </row>
    <row r="129" spans="2:9" x14ac:dyDescent="0.2">
      <c r="B129" s="1" t="s">
        <v>558</v>
      </c>
      <c r="G129" s="23">
        <f>G127-G128</f>
        <v>500</v>
      </c>
      <c r="I129" s="1" t="s">
        <v>559</v>
      </c>
    </row>
    <row r="131" spans="2:9" x14ac:dyDescent="0.2">
      <c r="B131" s="1" t="s">
        <v>560</v>
      </c>
    </row>
    <row r="132" spans="2:9" x14ac:dyDescent="0.2">
      <c r="B132" s="1" t="s">
        <v>561</v>
      </c>
    </row>
    <row r="134" spans="2:9" x14ac:dyDescent="0.2">
      <c r="F134" s="40" t="s">
        <v>501</v>
      </c>
    </row>
    <row r="135" spans="2:9" x14ac:dyDescent="0.2">
      <c r="B135" s="35">
        <v>43831</v>
      </c>
      <c r="C135" s="1" t="s">
        <v>562</v>
      </c>
      <c r="F135" s="21">
        <v>0</v>
      </c>
    </row>
    <row r="136" spans="2:9" x14ac:dyDescent="0.2">
      <c r="B136" s="35">
        <v>44196</v>
      </c>
      <c r="C136" s="1" t="s">
        <v>100</v>
      </c>
      <c r="F136" s="21">
        <v>2400</v>
      </c>
      <c r="H136" s="1" t="s">
        <v>568</v>
      </c>
    </row>
    <row r="137" spans="2:9" x14ac:dyDescent="0.2">
      <c r="B137" s="35">
        <v>44196</v>
      </c>
      <c r="C137" s="1" t="s">
        <v>563</v>
      </c>
      <c r="F137" s="78">
        <f>F135+F136</f>
        <v>2400</v>
      </c>
    </row>
    <row r="138" spans="2:9" x14ac:dyDescent="0.2">
      <c r="B138" s="35">
        <v>44378</v>
      </c>
      <c r="C138" s="1" t="s">
        <v>564</v>
      </c>
      <c r="F138" s="21">
        <v>1200</v>
      </c>
      <c r="H138" s="1" t="s">
        <v>569</v>
      </c>
    </row>
    <row r="139" spans="2:9" x14ac:dyDescent="0.2">
      <c r="B139" s="35">
        <v>44378</v>
      </c>
      <c r="C139" s="1" t="s">
        <v>566</v>
      </c>
      <c r="F139" s="21">
        <v>-500</v>
      </c>
      <c r="H139" s="1" t="s">
        <v>557</v>
      </c>
    </row>
    <row r="140" spans="2:9" x14ac:dyDescent="0.2">
      <c r="B140" s="35">
        <v>44561</v>
      </c>
      <c r="C140" s="1" t="s">
        <v>565</v>
      </c>
      <c r="F140" s="21">
        <f>4100/1.5*(6/12)</f>
        <v>1366.6666666666667</v>
      </c>
      <c r="H140" s="1" t="s">
        <v>570</v>
      </c>
    </row>
    <row r="141" spans="2:9" x14ac:dyDescent="0.2">
      <c r="B141" s="35">
        <v>44561</v>
      </c>
      <c r="C141" s="1" t="s">
        <v>563</v>
      </c>
      <c r="F141" s="78">
        <f>SUM(F137:F140)</f>
        <v>4466.666666666667</v>
      </c>
    </row>
    <row r="142" spans="2:9" x14ac:dyDescent="0.2">
      <c r="B142" s="35">
        <v>44926</v>
      </c>
      <c r="C142" s="1" t="s">
        <v>567</v>
      </c>
      <c r="F142" s="21">
        <f>4100/1.5</f>
        <v>2733.3333333333335</v>
      </c>
      <c r="H142" s="1" t="s">
        <v>571</v>
      </c>
    </row>
    <row r="143" spans="2:9" x14ac:dyDescent="0.2">
      <c r="B143" s="35">
        <v>44926</v>
      </c>
      <c r="C143" s="1" t="s">
        <v>563</v>
      </c>
      <c r="F143" s="78">
        <f>F141+F142</f>
        <v>7200</v>
      </c>
    </row>
    <row r="144" spans="2:9" ht="17" thickBot="1" x14ac:dyDescent="0.25"/>
    <row r="145" spans="1:8" ht="17" thickBot="1" x14ac:dyDescent="0.25">
      <c r="A145" s="316" t="s">
        <v>603</v>
      </c>
      <c r="B145" s="317"/>
      <c r="C145" s="317"/>
      <c r="D145" s="317"/>
      <c r="E145" s="317"/>
      <c r="F145" s="317"/>
      <c r="G145" s="317"/>
      <c r="H145" s="318"/>
    </row>
    <row r="146" spans="1:8" ht="17" thickBot="1" x14ac:dyDescent="0.25"/>
    <row r="147" spans="1:8" x14ac:dyDescent="0.2">
      <c r="B147" s="13" t="s">
        <v>572</v>
      </c>
      <c r="C147" s="5"/>
      <c r="D147" s="5"/>
      <c r="E147" s="5"/>
      <c r="F147" s="5"/>
      <c r="G147" s="6"/>
    </row>
    <row r="148" spans="1:8" x14ac:dyDescent="0.2">
      <c r="B148" s="7" t="s">
        <v>573</v>
      </c>
      <c r="G148" s="9"/>
    </row>
    <row r="149" spans="1:8" ht="17" thickBot="1" x14ac:dyDescent="0.25">
      <c r="B149" s="10" t="s">
        <v>574</v>
      </c>
      <c r="C149" s="11"/>
      <c r="D149" s="11"/>
      <c r="E149" s="11"/>
      <c r="F149" s="11"/>
      <c r="G149" s="12"/>
    </row>
    <row r="150" spans="1:8" x14ac:dyDescent="0.2">
      <c r="B150" s="79" t="s">
        <v>575</v>
      </c>
      <c r="F150" s="80" t="s">
        <v>575</v>
      </c>
    </row>
    <row r="151" spans="1:8" x14ac:dyDescent="0.2">
      <c r="B151" s="81" t="s">
        <v>576</v>
      </c>
      <c r="F151" s="82" t="s">
        <v>577</v>
      </c>
    </row>
    <row r="152" spans="1:8" x14ac:dyDescent="0.2">
      <c r="B152" s="81" t="s">
        <v>578</v>
      </c>
      <c r="F152" s="82" t="s">
        <v>578</v>
      </c>
    </row>
    <row r="153" spans="1:8" x14ac:dyDescent="0.2">
      <c r="B153" s="81" t="s">
        <v>579</v>
      </c>
      <c r="F153" s="82" t="s">
        <v>580</v>
      </c>
    </row>
    <row r="154" spans="1:8" ht="17" thickBot="1" x14ac:dyDescent="0.25">
      <c r="B154" s="83" t="s">
        <v>581</v>
      </c>
      <c r="F154" s="84" t="s">
        <v>581</v>
      </c>
    </row>
    <row r="155" spans="1:8" ht="17" thickBot="1" x14ac:dyDescent="0.25">
      <c r="B155" s="79" t="s">
        <v>582</v>
      </c>
      <c r="E155" s="80" t="s">
        <v>583</v>
      </c>
    </row>
    <row r="156" spans="1:8" ht="17" thickBot="1" x14ac:dyDescent="0.25">
      <c r="B156" s="81" t="s">
        <v>584</v>
      </c>
      <c r="C156" s="85" t="s">
        <v>585</v>
      </c>
      <c r="E156" s="82" t="s">
        <v>586</v>
      </c>
    </row>
    <row r="157" spans="1:8" x14ac:dyDescent="0.2">
      <c r="B157" s="81" t="s">
        <v>587</v>
      </c>
      <c r="C157" s="86" t="s">
        <v>588</v>
      </c>
      <c r="E157" s="82" t="s">
        <v>589</v>
      </c>
      <c r="F157" s="87" t="s">
        <v>590</v>
      </c>
      <c r="G157" s="88"/>
    </row>
    <row r="158" spans="1:8" x14ac:dyDescent="0.2">
      <c r="B158" s="81" t="s">
        <v>591</v>
      </c>
      <c r="C158" s="86" t="s">
        <v>592</v>
      </c>
      <c r="E158" s="82" t="s">
        <v>593</v>
      </c>
      <c r="F158" s="89" t="s">
        <v>594</v>
      </c>
      <c r="G158" s="90"/>
    </row>
    <row r="159" spans="1:8" x14ac:dyDescent="0.2">
      <c r="B159" s="81" t="s">
        <v>595</v>
      </c>
      <c r="C159" s="86" t="s">
        <v>596</v>
      </c>
      <c r="E159" s="82" t="s">
        <v>597</v>
      </c>
      <c r="F159" s="89" t="s">
        <v>598</v>
      </c>
      <c r="G159" s="90"/>
    </row>
    <row r="160" spans="1:8" ht="17" thickBot="1" x14ac:dyDescent="0.25">
      <c r="B160" s="81" t="s">
        <v>586</v>
      </c>
      <c r="C160" s="91" t="s">
        <v>599</v>
      </c>
      <c r="E160" s="82" t="s">
        <v>600</v>
      </c>
      <c r="F160" s="92" t="s">
        <v>601</v>
      </c>
      <c r="G160" s="93"/>
    </row>
    <row r="161" spans="1:8" ht="17" thickBot="1" x14ac:dyDescent="0.25">
      <c r="B161" s="83" t="s">
        <v>602</v>
      </c>
      <c r="E161" s="84" t="s">
        <v>584</v>
      </c>
    </row>
    <row r="163" spans="1:8" x14ac:dyDescent="0.2">
      <c r="A163" s="75" t="s">
        <v>604</v>
      </c>
      <c r="B163" s="75"/>
      <c r="C163" s="75"/>
      <c r="D163" s="75"/>
      <c r="E163" s="75"/>
      <c r="F163" s="75"/>
      <c r="G163" s="75"/>
      <c r="H163" s="75"/>
    </row>
    <row r="164" spans="1:8" x14ac:dyDescent="0.2">
      <c r="A164" s="1" t="s">
        <v>605</v>
      </c>
    </row>
    <row r="165" spans="1:8" x14ac:dyDescent="0.2">
      <c r="A165" s="1" t="s">
        <v>606</v>
      </c>
    </row>
    <row r="166" spans="1:8" x14ac:dyDescent="0.2">
      <c r="A166" s="1" t="s">
        <v>612</v>
      </c>
    </row>
    <row r="167" spans="1:8" x14ac:dyDescent="0.2">
      <c r="A167" s="1" t="s">
        <v>607</v>
      </c>
    </row>
    <row r="168" spans="1:8" x14ac:dyDescent="0.2">
      <c r="A168" s="1" t="s">
        <v>608</v>
      </c>
    </row>
    <row r="169" spans="1:8" x14ac:dyDescent="0.2">
      <c r="A169" s="1" t="s">
        <v>609</v>
      </c>
    </row>
    <row r="170" spans="1:8" x14ac:dyDescent="0.2">
      <c r="A170" s="1" t="s">
        <v>610</v>
      </c>
    </row>
    <row r="172" spans="1:8" x14ac:dyDescent="0.2">
      <c r="A172" s="1" t="s">
        <v>60</v>
      </c>
    </row>
    <row r="173" spans="1:8" x14ac:dyDescent="0.2">
      <c r="A173" s="2" t="s">
        <v>611</v>
      </c>
    </row>
    <row r="175" spans="1:8" x14ac:dyDescent="0.2">
      <c r="A175" s="1" t="s">
        <v>613</v>
      </c>
    </row>
    <row r="176" spans="1:8" x14ac:dyDescent="0.2">
      <c r="A176" s="1" t="s">
        <v>614</v>
      </c>
    </row>
    <row r="177" spans="1:8" x14ac:dyDescent="0.2">
      <c r="A177" s="1" t="s">
        <v>615</v>
      </c>
    </row>
    <row r="179" spans="1:8" x14ac:dyDescent="0.2">
      <c r="A179" s="2" t="s">
        <v>616</v>
      </c>
    </row>
    <row r="181" spans="1:8" x14ac:dyDescent="0.2">
      <c r="A181" s="1" t="s">
        <v>617</v>
      </c>
    </row>
    <row r="182" spans="1:8" x14ac:dyDescent="0.2">
      <c r="A182" s="1" t="s">
        <v>618</v>
      </c>
    </row>
    <row r="184" spans="1:8" x14ac:dyDescent="0.2">
      <c r="B184" s="94" t="s">
        <v>619</v>
      </c>
      <c r="C184" s="94"/>
      <c r="D184" s="94"/>
      <c r="F184" s="94" t="s">
        <v>622</v>
      </c>
      <c r="G184" s="94"/>
      <c r="H184" s="94"/>
    </row>
    <row r="185" spans="1:8" x14ac:dyDescent="0.2">
      <c r="B185" s="1" t="s">
        <v>620</v>
      </c>
      <c r="D185" s="23">
        <v>78000</v>
      </c>
      <c r="H185" s="95">
        <v>211000</v>
      </c>
    </row>
    <row r="186" spans="1:8" x14ac:dyDescent="0.2">
      <c r="B186" s="1" t="s">
        <v>621</v>
      </c>
      <c r="D186" s="23">
        <v>90000</v>
      </c>
    </row>
    <row r="187" spans="1:8" x14ac:dyDescent="0.2">
      <c r="B187" s="1" t="s">
        <v>254</v>
      </c>
      <c r="D187" s="51">
        <f>D185+D186</f>
        <v>168000</v>
      </c>
    </row>
    <row r="192" spans="1:8" x14ac:dyDescent="0.2">
      <c r="D192" s="1" t="s">
        <v>623</v>
      </c>
    </row>
    <row r="193" spans="1:8" x14ac:dyDescent="0.2">
      <c r="D193" s="1" t="s">
        <v>624</v>
      </c>
    </row>
    <row r="194" spans="1:8" x14ac:dyDescent="0.2">
      <c r="D194" s="1" t="s">
        <v>625</v>
      </c>
    </row>
    <row r="195" spans="1:8" x14ac:dyDescent="0.2">
      <c r="D195" s="1" t="s">
        <v>626</v>
      </c>
    </row>
    <row r="196" spans="1:8" x14ac:dyDescent="0.2">
      <c r="D196" s="1" t="s">
        <v>627</v>
      </c>
      <c r="H196" s="77">
        <v>211000</v>
      </c>
    </row>
    <row r="198" spans="1:8" x14ac:dyDescent="0.2">
      <c r="A198" s="2" t="s">
        <v>628</v>
      </c>
    </row>
    <row r="200" spans="1:8" x14ac:dyDescent="0.2">
      <c r="A200" s="1" t="s">
        <v>629</v>
      </c>
    </row>
    <row r="202" spans="1:8" x14ac:dyDescent="0.2">
      <c r="A202" s="1" t="s">
        <v>631</v>
      </c>
    </row>
    <row r="203" spans="1:8" x14ac:dyDescent="0.2">
      <c r="B203" s="1" t="s">
        <v>630</v>
      </c>
      <c r="E203" s="23">
        <f>D185</f>
        <v>78000</v>
      </c>
    </row>
    <row r="204" spans="1:8" x14ac:dyDescent="0.2">
      <c r="B204" s="1" t="s">
        <v>632</v>
      </c>
      <c r="E204" s="23">
        <v>100000</v>
      </c>
    </row>
    <row r="205" spans="1:8" x14ac:dyDescent="0.2">
      <c r="B205" s="1" t="s">
        <v>633</v>
      </c>
      <c r="E205" s="23">
        <f>E203+E204</f>
        <v>178000</v>
      </c>
    </row>
    <row r="207" spans="1:8" x14ac:dyDescent="0.2">
      <c r="B207" s="1" t="s">
        <v>634</v>
      </c>
      <c r="F207" s="23">
        <f>H196</f>
        <v>211000</v>
      </c>
    </row>
    <row r="208" spans="1:8" x14ac:dyDescent="0.2">
      <c r="B208" s="1" t="s">
        <v>635</v>
      </c>
      <c r="F208" s="23">
        <f>E205</f>
        <v>178000</v>
      </c>
    </row>
    <row r="209" spans="1:8" x14ac:dyDescent="0.2">
      <c r="B209" s="1" t="s">
        <v>636</v>
      </c>
      <c r="F209" s="77">
        <f>F207-F208</f>
        <v>33000</v>
      </c>
    </row>
    <row r="212" spans="1:8" ht="36" x14ac:dyDescent="0.4">
      <c r="A212" s="96" t="s">
        <v>637</v>
      </c>
      <c r="B212" s="96"/>
      <c r="C212" s="96"/>
      <c r="D212" s="96"/>
      <c r="E212" s="96"/>
      <c r="F212" s="96"/>
      <c r="G212" s="96"/>
      <c r="H212" s="96"/>
    </row>
    <row r="213" spans="1:8" x14ac:dyDescent="0.2">
      <c r="D213" s="1" t="s">
        <v>638</v>
      </c>
    </row>
    <row r="214" spans="1:8" x14ac:dyDescent="0.2">
      <c r="D214" s="1" t="s">
        <v>639</v>
      </c>
    </row>
    <row r="215" spans="1:8" x14ac:dyDescent="0.2">
      <c r="D215" s="1" t="s">
        <v>640</v>
      </c>
    </row>
    <row r="216" spans="1:8" x14ac:dyDescent="0.2">
      <c r="D216" s="1" t="s">
        <v>641</v>
      </c>
    </row>
    <row r="217" spans="1:8" x14ac:dyDescent="0.2">
      <c r="D217" s="1" t="s">
        <v>642</v>
      </c>
    </row>
    <row r="218" spans="1:8" x14ac:dyDescent="0.2">
      <c r="D218" s="1" t="s">
        <v>643</v>
      </c>
    </row>
    <row r="219" spans="1:8" x14ac:dyDescent="0.2">
      <c r="D219" s="1" t="s">
        <v>644</v>
      </c>
    </row>
    <row r="221" spans="1:8" x14ac:dyDescent="0.2">
      <c r="D221" s="1" t="s">
        <v>645</v>
      </c>
    </row>
    <row r="222" spans="1:8" x14ac:dyDescent="0.2">
      <c r="D222" s="1" t="s">
        <v>646</v>
      </c>
    </row>
    <row r="223" spans="1:8" x14ac:dyDescent="0.2">
      <c r="D223" s="1" t="s">
        <v>647</v>
      </c>
    </row>
    <row r="225" spans="1:4" x14ac:dyDescent="0.2">
      <c r="D225" s="1" t="s">
        <v>648</v>
      </c>
    </row>
    <row r="226" spans="1:4" x14ac:dyDescent="0.2">
      <c r="D226" s="1" t="s">
        <v>649</v>
      </c>
    </row>
    <row r="227" spans="1:4" x14ac:dyDescent="0.2">
      <c r="D227" s="1" t="s">
        <v>650</v>
      </c>
    </row>
    <row r="229" spans="1:4" x14ac:dyDescent="0.2">
      <c r="A229" s="1" t="s">
        <v>651</v>
      </c>
    </row>
    <row r="230" spans="1:4" x14ac:dyDescent="0.2">
      <c r="A230" s="1" t="s">
        <v>652</v>
      </c>
    </row>
    <row r="231" spans="1:4" x14ac:dyDescent="0.2">
      <c r="A231" s="1" t="s">
        <v>653</v>
      </c>
    </row>
    <row r="232" spans="1:4" x14ac:dyDescent="0.2">
      <c r="A232" s="1" t="s">
        <v>654</v>
      </c>
    </row>
    <row r="233" spans="1:4" x14ac:dyDescent="0.2">
      <c r="A233" s="1" t="s">
        <v>655</v>
      </c>
    </row>
    <row r="234" spans="1:4" x14ac:dyDescent="0.2">
      <c r="B234" s="94" t="s">
        <v>656</v>
      </c>
      <c r="C234" s="94" t="s">
        <v>501</v>
      </c>
    </row>
    <row r="235" spans="1:4" x14ac:dyDescent="0.2">
      <c r="B235" s="35">
        <v>44196</v>
      </c>
      <c r="C235" s="23">
        <v>550000</v>
      </c>
    </row>
    <row r="236" spans="1:4" x14ac:dyDescent="0.2">
      <c r="B236" s="35">
        <v>44561</v>
      </c>
      <c r="C236" s="23">
        <v>570000</v>
      </c>
    </row>
    <row r="237" spans="1:4" x14ac:dyDescent="0.2">
      <c r="B237" s="35">
        <v>44926</v>
      </c>
      <c r="C237" s="23">
        <v>590000</v>
      </c>
    </row>
    <row r="239" spans="1:4" x14ac:dyDescent="0.2">
      <c r="A239" s="1" t="s">
        <v>657</v>
      </c>
    </row>
    <row r="241" spans="1:8" x14ac:dyDescent="0.2">
      <c r="C241" s="19" t="s">
        <v>658</v>
      </c>
      <c r="D241" s="19" t="s">
        <v>659</v>
      </c>
      <c r="E241" s="19" t="s">
        <v>658</v>
      </c>
      <c r="F241" s="19" t="s">
        <v>660</v>
      </c>
      <c r="G241" s="19" t="s">
        <v>658</v>
      </c>
      <c r="H241" s="19" t="s">
        <v>659</v>
      </c>
    </row>
    <row r="242" spans="1:8" x14ac:dyDescent="0.2">
      <c r="C242" s="36">
        <v>44196</v>
      </c>
      <c r="D242" s="36">
        <v>44196</v>
      </c>
      <c r="E242" s="36">
        <v>44561</v>
      </c>
      <c r="F242" s="36">
        <v>44561</v>
      </c>
      <c r="G242" s="36">
        <v>44926</v>
      </c>
      <c r="H242" s="36">
        <v>44926</v>
      </c>
    </row>
    <row r="243" spans="1:8" x14ac:dyDescent="0.2">
      <c r="A243" s="1" t="s">
        <v>663</v>
      </c>
      <c r="C243" s="19">
        <v>500000</v>
      </c>
      <c r="D243" s="38">
        <f>D245</f>
        <v>550000</v>
      </c>
      <c r="E243" s="38">
        <f>D243</f>
        <v>550000</v>
      </c>
      <c r="F243" s="38">
        <f>F245</f>
        <v>570000</v>
      </c>
      <c r="G243" s="38">
        <f>F243</f>
        <v>570000</v>
      </c>
      <c r="H243" s="38">
        <f>H245</f>
        <v>590000</v>
      </c>
    </row>
    <row r="244" spans="1:8" x14ac:dyDescent="0.2">
      <c r="A244" s="1" t="s">
        <v>96</v>
      </c>
      <c r="C244" s="19">
        <f>-C247</f>
        <v>-50000</v>
      </c>
      <c r="D244" s="19">
        <v>0</v>
      </c>
      <c r="E244" s="38">
        <f>-E247</f>
        <v>-61111.111111111109</v>
      </c>
      <c r="F244" s="19">
        <v>0</v>
      </c>
      <c r="G244" s="19">
        <f>-G247</f>
        <v>-71250</v>
      </c>
      <c r="H244" s="19">
        <v>0</v>
      </c>
    </row>
    <row r="245" spans="1:8" x14ac:dyDescent="0.2">
      <c r="A245" s="1" t="s">
        <v>99</v>
      </c>
      <c r="C245" s="19">
        <f>C243+C244</f>
        <v>450000</v>
      </c>
      <c r="D245" s="38">
        <f>C235</f>
        <v>550000</v>
      </c>
      <c r="E245" s="38">
        <f>E243+E244</f>
        <v>488888.88888888888</v>
      </c>
      <c r="F245" s="38">
        <f>C236</f>
        <v>570000</v>
      </c>
      <c r="G245" s="38">
        <f>G243+G244</f>
        <v>498750</v>
      </c>
      <c r="H245" s="38">
        <f>C237</f>
        <v>590000</v>
      </c>
    </row>
    <row r="246" spans="1:8" x14ac:dyDescent="0.2">
      <c r="C246" s="19"/>
      <c r="D246" s="19"/>
      <c r="E246" s="19"/>
      <c r="F246" s="19"/>
      <c r="G246" s="19"/>
      <c r="H246" s="19"/>
    </row>
    <row r="247" spans="1:8" x14ac:dyDescent="0.2">
      <c r="A247" s="1" t="s">
        <v>100</v>
      </c>
      <c r="C247" s="19">
        <f>C243/10</f>
        <v>50000</v>
      </c>
      <c r="D247" s="19">
        <f>C247</f>
        <v>50000</v>
      </c>
      <c r="E247" s="38">
        <f>D245/9</f>
        <v>61111.111111111109</v>
      </c>
      <c r="F247" s="38">
        <f>E247</f>
        <v>61111.111111111109</v>
      </c>
      <c r="G247" s="19">
        <f>F245/8</f>
        <v>71250</v>
      </c>
      <c r="H247" s="19">
        <f>G247</f>
        <v>71250</v>
      </c>
    </row>
    <row r="248" spans="1:8" x14ac:dyDescent="0.2">
      <c r="C248" s="19"/>
      <c r="D248" s="19"/>
      <c r="E248" s="19"/>
      <c r="F248" s="19"/>
      <c r="G248" s="19"/>
      <c r="H248" s="19"/>
    </row>
    <row r="249" spans="1:8" x14ac:dyDescent="0.2">
      <c r="A249" s="1" t="s">
        <v>661</v>
      </c>
      <c r="C249" s="19"/>
      <c r="D249" s="38">
        <f>D245-C245</f>
        <v>100000</v>
      </c>
      <c r="E249" s="19"/>
      <c r="F249" s="38">
        <f>C236-E245</f>
        <v>81111.111111111124</v>
      </c>
      <c r="G249" s="19"/>
      <c r="H249" s="38">
        <f>H245-G245</f>
        <v>91250</v>
      </c>
    </row>
    <row r="250" spans="1:8" x14ac:dyDescent="0.2">
      <c r="A250" s="1" t="s">
        <v>662</v>
      </c>
      <c r="C250" s="19"/>
      <c r="D250" s="38">
        <f>D249</f>
        <v>100000</v>
      </c>
      <c r="E250" s="19"/>
      <c r="F250" s="38">
        <f>F249+D250</f>
        <v>181111.11111111112</v>
      </c>
      <c r="G250" s="19"/>
      <c r="H250" s="38">
        <f>H249+F250</f>
        <v>272361.11111111112</v>
      </c>
    </row>
  </sheetData>
  <mergeCells count="3">
    <mergeCell ref="E81:F81"/>
    <mergeCell ref="D118:E118"/>
    <mergeCell ref="A145:H145"/>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FE9FD1-920F-B24D-BB0B-4654D39FE2B3}">
  <dimension ref="A1:AF107"/>
  <sheetViews>
    <sheetView rightToLeft="1" topLeftCell="N71" zoomScale="170" zoomScaleNormal="170" workbookViewId="0">
      <selection activeCell="X88" sqref="X88"/>
    </sheetView>
  </sheetViews>
  <sheetFormatPr baseColWidth="10" defaultRowHeight="16" x14ac:dyDescent="0.2"/>
  <cols>
    <col min="1" max="11" width="10.83203125" style="1"/>
    <col min="12" max="14" width="10.83203125" style="1" customWidth="1"/>
    <col min="15" max="15" width="11.1640625" style="1" customWidth="1"/>
    <col min="16" max="26" width="10.83203125" style="1" customWidth="1"/>
    <col min="27" max="16384" width="10.83203125" style="1"/>
  </cols>
  <sheetData>
    <row r="1" spans="1:8" x14ac:dyDescent="0.2">
      <c r="A1" s="3" t="s">
        <v>664</v>
      </c>
      <c r="B1" s="3"/>
      <c r="C1" s="3"/>
      <c r="D1" s="3"/>
      <c r="E1" s="3"/>
      <c r="F1" s="3"/>
      <c r="G1" s="3"/>
      <c r="H1" s="97">
        <v>45750</v>
      </c>
    </row>
    <row r="3" spans="1:8" x14ac:dyDescent="0.2">
      <c r="A3" s="98" t="s">
        <v>665</v>
      </c>
      <c r="B3" s="98"/>
      <c r="C3" s="98"/>
      <c r="D3" s="98"/>
      <c r="E3" s="98"/>
      <c r="F3" s="98"/>
      <c r="G3" s="98"/>
      <c r="H3" s="98"/>
    </row>
    <row r="4" spans="1:8" x14ac:dyDescent="0.2">
      <c r="A4" s="1" t="s">
        <v>666</v>
      </c>
    </row>
    <row r="5" spans="1:8" x14ac:dyDescent="0.2">
      <c r="A5" s="1" t="s">
        <v>667</v>
      </c>
    </row>
    <row r="6" spans="1:8" x14ac:dyDescent="0.2">
      <c r="A6" s="1" t="s">
        <v>668</v>
      </c>
    </row>
    <row r="7" spans="1:8" x14ac:dyDescent="0.2">
      <c r="A7" s="1" t="s">
        <v>669</v>
      </c>
    </row>
    <row r="8" spans="1:8" x14ac:dyDescent="0.2">
      <c r="A8" s="1" t="s">
        <v>670</v>
      </c>
    </row>
    <row r="9" spans="1:8" x14ac:dyDescent="0.2">
      <c r="A9" s="1" t="s">
        <v>671</v>
      </c>
    </row>
    <row r="10" spans="1:8" x14ac:dyDescent="0.2">
      <c r="A10" s="1" t="s">
        <v>672</v>
      </c>
    </row>
    <row r="11" spans="1:8" x14ac:dyDescent="0.2">
      <c r="A11" s="1" t="s">
        <v>673</v>
      </c>
    </row>
    <row r="12" spans="1:8" x14ac:dyDescent="0.2">
      <c r="A12" s="1" t="s">
        <v>674</v>
      </c>
    </row>
    <row r="13" spans="1:8" x14ac:dyDescent="0.2">
      <c r="A13" s="1" t="s">
        <v>675</v>
      </c>
    </row>
    <row r="14" spans="1:8" x14ac:dyDescent="0.2">
      <c r="A14" s="1" t="s">
        <v>676</v>
      </c>
    </row>
    <row r="15" spans="1:8" x14ac:dyDescent="0.2">
      <c r="A15" s="1" t="s">
        <v>677</v>
      </c>
    </row>
    <row r="16" spans="1:8" x14ac:dyDescent="0.2">
      <c r="A16" s="1" t="s">
        <v>678</v>
      </c>
    </row>
    <row r="17" spans="1:8" x14ac:dyDescent="0.2">
      <c r="A17" s="1" t="s">
        <v>679</v>
      </c>
    </row>
    <row r="19" spans="1:8" x14ac:dyDescent="0.2">
      <c r="A19" s="98" t="s">
        <v>680</v>
      </c>
      <c r="B19" s="98"/>
      <c r="C19" s="98"/>
      <c r="D19" s="98"/>
      <c r="E19" s="98"/>
      <c r="F19" s="98"/>
      <c r="G19" s="98"/>
      <c r="H19" s="98"/>
    </row>
    <row r="20" spans="1:8" x14ac:dyDescent="0.2">
      <c r="A20" s="1" t="s">
        <v>681</v>
      </c>
    </row>
    <row r="21" spans="1:8" x14ac:dyDescent="0.2">
      <c r="A21" s="1" t="s">
        <v>682</v>
      </c>
    </row>
    <row r="22" spans="1:8" x14ac:dyDescent="0.2">
      <c r="A22" s="1" t="s">
        <v>683</v>
      </c>
    </row>
    <row r="23" spans="1:8" x14ac:dyDescent="0.2">
      <c r="A23" s="1" t="s">
        <v>684</v>
      </c>
    </row>
    <row r="24" spans="1:8" x14ac:dyDescent="0.2">
      <c r="A24" s="1" t="s">
        <v>685</v>
      </c>
    </row>
    <row r="25" spans="1:8" x14ac:dyDescent="0.2">
      <c r="A25" s="1" t="s">
        <v>686</v>
      </c>
    </row>
    <row r="36" spans="1:30" x14ac:dyDescent="0.2">
      <c r="A36" s="1" t="s">
        <v>687</v>
      </c>
    </row>
    <row r="37" spans="1:30" x14ac:dyDescent="0.2">
      <c r="A37" s="1" t="s">
        <v>688</v>
      </c>
    </row>
    <row r="38" spans="1:30" x14ac:dyDescent="0.2">
      <c r="A38" s="1" t="s">
        <v>689</v>
      </c>
    </row>
    <row r="39" spans="1:30" x14ac:dyDescent="0.2">
      <c r="A39" s="1" t="s">
        <v>690</v>
      </c>
    </row>
    <row r="41" spans="1:30" x14ac:dyDescent="0.2">
      <c r="A41" s="1" t="s">
        <v>691</v>
      </c>
    </row>
    <row r="42" spans="1:30" x14ac:dyDescent="0.2">
      <c r="A42" s="1" t="s">
        <v>692</v>
      </c>
    </row>
    <row r="43" spans="1:30" x14ac:dyDescent="0.2">
      <c r="M43" s="19" t="s">
        <v>711</v>
      </c>
      <c r="N43" s="19" t="s">
        <v>711</v>
      </c>
      <c r="O43" s="69" t="s">
        <v>722</v>
      </c>
      <c r="P43" s="19" t="s">
        <v>711</v>
      </c>
      <c r="Q43" s="19" t="s">
        <v>711</v>
      </c>
      <c r="R43" s="69" t="s">
        <v>722</v>
      </c>
      <c r="U43" s="69" t="s">
        <v>722</v>
      </c>
      <c r="X43" s="69" t="s">
        <v>722</v>
      </c>
      <c r="AA43" s="69" t="s">
        <v>722</v>
      </c>
    </row>
    <row r="44" spans="1:30" x14ac:dyDescent="0.2">
      <c r="A44" s="99" t="s">
        <v>693</v>
      </c>
      <c r="B44" s="99"/>
      <c r="C44" s="99"/>
      <c r="D44" s="99"/>
      <c r="E44" s="99"/>
      <c r="F44" s="99"/>
      <c r="G44" s="99"/>
      <c r="H44" s="99"/>
      <c r="L44" s="19" t="s">
        <v>711</v>
      </c>
      <c r="M44" s="19" t="s">
        <v>723</v>
      </c>
      <c r="N44" s="19" t="s">
        <v>724</v>
      </c>
      <c r="O44" s="19" t="s">
        <v>725</v>
      </c>
      <c r="P44" s="19" t="s">
        <v>723</v>
      </c>
      <c r="Q44" s="19" t="s">
        <v>724</v>
      </c>
      <c r="R44" s="19" t="s">
        <v>725</v>
      </c>
      <c r="S44" s="19" t="s">
        <v>658</v>
      </c>
      <c r="T44" s="19" t="s">
        <v>724</v>
      </c>
      <c r="U44" s="19" t="s">
        <v>725</v>
      </c>
      <c r="V44" s="19" t="s">
        <v>658</v>
      </c>
      <c r="W44" s="19" t="s">
        <v>724</v>
      </c>
      <c r="X44" s="19" t="s">
        <v>725</v>
      </c>
      <c r="Y44" s="19" t="s">
        <v>658</v>
      </c>
      <c r="Z44" s="19" t="s">
        <v>724</v>
      </c>
      <c r="AA44" s="19" t="s">
        <v>725</v>
      </c>
      <c r="AB44" s="19" t="s">
        <v>332</v>
      </c>
      <c r="AC44" s="19" t="s">
        <v>722</v>
      </c>
      <c r="AD44" s="19"/>
    </row>
    <row r="45" spans="1:30" x14ac:dyDescent="0.2">
      <c r="A45" s="1" t="s">
        <v>694</v>
      </c>
      <c r="L45" s="36">
        <v>42370</v>
      </c>
      <c r="M45" s="36">
        <v>42735</v>
      </c>
      <c r="N45" s="36">
        <v>42735</v>
      </c>
      <c r="O45" s="36">
        <v>42735</v>
      </c>
      <c r="P45" s="36">
        <v>43100</v>
      </c>
      <c r="Q45" s="36">
        <v>43100</v>
      </c>
      <c r="R45" s="36">
        <v>43100</v>
      </c>
      <c r="S45" s="36">
        <v>43465</v>
      </c>
      <c r="T45" s="36">
        <v>43465</v>
      </c>
      <c r="U45" s="36">
        <v>43465</v>
      </c>
      <c r="V45" s="36">
        <v>43830</v>
      </c>
      <c r="W45" s="36">
        <v>43830</v>
      </c>
      <c r="X45" s="36">
        <v>43830</v>
      </c>
      <c r="Y45" s="36">
        <v>44196</v>
      </c>
      <c r="Z45" s="36">
        <v>44196</v>
      </c>
      <c r="AA45" s="36">
        <v>44196</v>
      </c>
      <c r="AB45" s="36">
        <v>44377</v>
      </c>
      <c r="AC45" s="36">
        <v>44926</v>
      </c>
      <c r="AD45" s="56"/>
    </row>
    <row r="46" spans="1:30" x14ac:dyDescent="0.2">
      <c r="A46" s="1" t="s">
        <v>695</v>
      </c>
      <c r="J46" s="1" t="s">
        <v>719</v>
      </c>
      <c r="L46" s="38">
        <f>L75</f>
        <v>973438.72827321163</v>
      </c>
      <c r="M46" s="38">
        <f>L46</f>
        <v>973438.72827321163</v>
      </c>
      <c r="N46" s="38">
        <f>N49</f>
        <v>953969.95370774739</v>
      </c>
      <c r="O46" s="38">
        <f>O49</f>
        <v>1200000</v>
      </c>
      <c r="P46" s="38">
        <f>O46</f>
        <v>1200000</v>
      </c>
      <c r="Q46" s="38">
        <f>Q49</f>
        <v>1175510.2040816327</v>
      </c>
      <c r="R46" s="38">
        <f>R49-R48</f>
        <v>929480.15778938006</v>
      </c>
      <c r="S46" s="38">
        <f>R46</f>
        <v>929480.15778938006</v>
      </c>
      <c r="T46" s="38">
        <f>T49-T48</f>
        <v>910115.98783543461</v>
      </c>
      <c r="U46" s="38">
        <f>U49-U48</f>
        <v>910115.98783543461</v>
      </c>
      <c r="V46" s="38">
        <f>U46</f>
        <v>910115.98783543461</v>
      </c>
      <c r="W46" s="38">
        <f>V46+V47</f>
        <v>890751.81788148917</v>
      </c>
      <c r="X46" s="38">
        <f>X49</f>
        <v>900000</v>
      </c>
      <c r="Y46" s="38">
        <f>X46</f>
        <v>900000</v>
      </c>
      <c r="Z46" s="38">
        <f>Z49</f>
        <v>880434.78260869568</v>
      </c>
      <c r="AA46" s="38">
        <f>AA49</f>
        <v>1200000</v>
      </c>
      <c r="AB46" s="38">
        <f>AA46</f>
        <v>1200000</v>
      </c>
      <c r="AC46" s="38">
        <v>0</v>
      </c>
      <c r="AD46" s="38"/>
    </row>
    <row r="47" spans="1:30" x14ac:dyDescent="0.2">
      <c r="A47" s="1" t="s">
        <v>696</v>
      </c>
      <c r="J47" s="1" t="s">
        <v>96</v>
      </c>
      <c r="L47" s="19">
        <v>0</v>
      </c>
      <c r="M47" s="21">
        <f>-M51</f>
        <v>-19468.774565464231</v>
      </c>
      <c r="N47" s="21">
        <v>0</v>
      </c>
      <c r="O47" s="21">
        <v>0</v>
      </c>
      <c r="P47" s="21">
        <f>-P51</f>
        <v>-24489.795918367348</v>
      </c>
      <c r="Q47" s="21">
        <v>0</v>
      </c>
      <c r="R47" s="21">
        <v>0</v>
      </c>
      <c r="S47" s="21">
        <f>-S51+R48/48</f>
        <v>-19364.16995394542</v>
      </c>
      <c r="T47" s="21">
        <v>0</v>
      </c>
      <c r="U47" s="21">
        <f>T47</f>
        <v>0</v>
      </c>
      <c r="V47" s="21">
        <f>-V51+U48/47</f>
        <v>-19364.169953945417</v>
      </c>
      <c r="W47" s="21">
        <v>0</v>
      </c>
      <c r="X47" s="21">
        <v>0</v>
      </c>
      <c r="Y47" s="21">
        <f>-Y51</f>
        <v>-19565.217391304348</v>
      </c>
      <c r="Z47" s="21">
        <v>0</v>
      </c>
      <c r="AA47" s="21">
        <v>0</v>
      </c>
      <c r="AB47" s="21">
        <f>-AB51</f>
        <v>-13333.333333333334</v>
      </c>
      <c r="AC47" s="21">
        <v>0</v>
      </c>
      <c r="AD47" s="21"/>
    </row>
    <row r="48" spans="1:30" x14ac:dyDescent="0.2">
      <c r="A48" s="1" t="s">
        <v>697</v>
      </c>
      <c r="J48" s="1" t="s">
        <v>718</v>
      </c>
      <c r="L48" s="19">
        <v>0</v>
      </c>
      <c r="M48" s="19">
        <v>0</v>
      </c>
      <c r="N48" s="19">
        <v>0</v>
      </c>
      <c r="O48" s="19">
        <v>0</v>
      </c>
      <c r="P48" s="19">
        <v>0</v>
      </c>
      <c r="Q48" s="19">
        <v>0</v>
      </c>
      <c r="R48" s="21">
        <f>-R53</f>
        <v>-229480.15778938006</v>
      </c>
      <c r="S48" s="21">
        <f>R48*47/48</f>
        <v>-224699.32116876799</v>
      </c>
      <c r="T48" s="21">
        <f>S48</f>
        <v>-224699.32116876799</v>
      </c>
      <c r="U48" s="21">
        <f>T48-U53</f>
        <v>-410115.98783543461</v>
      </c>
      <c r="V48" s="21">
        <f>U48*46/47</f>
        <v>-401390.11575382965</v>
      </c>
      <c r="W48" s="21">
        <f>V48</f>
        <v>-401390.11575382965</v>
      </c>
      <c r="X48" s="21">
        <v>0</v>
      </c>
      <c r="Y48" s="21">
        <v>0</v>
      </c>
      <c r="Z48" s="21">
        <v>0</v>
      </c>
      <c r="AA48" s="21">
        <v>0</v>
      </c>
      <c r="AB48" s="21">
        <v>0</v>
      </c>
      <c r="AC48" s="21">
        <v>0</v>
      </c>
      <c r="AD48" s="21"/>
    </row>
    <row r="49" spans="1:30" x14ac:dyDescent="0.2">
      <c r="A49" s="1" t="s">
        <v>698</v>
      </c>
      <c r="J49" s="1" t="s">
        <v>99</v>
      </c>
      <c r="L49" s="39">
        <f>L46</f>
        <v>973438.72827321163</v>
      </c>
      <c r="M49" s="39">
        <f>M46+M47</f>
        <v>953969.95370774739</v>
      </c>
      <c r="N49" s="39">
        <f>M49</f>
        <v>953969.95370774739</v>
      </c>
      <c r="O49" s="39">
        <f>D60</f>
        <v>1200000</v>
      </c>
      <c r="P49" s="39">
        <f>P46+P47</f>
        <v>1175510.2040816327</v>
      </c>
      <c r="Q49" s="39">
        <f>P49</f>
        <v>1175510.2040816327</v>
      </c>
      <c r="R49" s="39">
        <f>D61</f>
        <v>700000</v>
      </c>
      <c r="S49" s="39">
        <f>S46+S47+S48</f>
        <v>685416.66666666663</v>
      </c>
      <c r="T49" s="39">
        <f>S49</f>
        <v>685416.66666666663</v>
      </c>
      <c r="U49" s="39">
        <f>D62</f>
        <v>500000</v>
      </c>
      <c r="V49" s="39">
        <f>V46+V47+V48</f>
        <v>489361.70212765952</v>
      </c>
      <c r="W49" s="39">
        <f>W46+W47+W48</f>
        <v>489361.70212765952</v>
      </c>
      <c r="X49" s="39">
        <f>D63</f>
        <v>900000</v>
      </c>
      <c r="Y49" s="39">
        <f>Y46+Y47+Y48</f>
        <v>880434.78260869568</v>
      </c>
      <c r="Z49" s="39">
        <f>Y49</f>
        <v>880434.78260869568</v>
      </c>
      <c r="AA49" s="39">
        <f>D64</f>
        <v>1200000</v>
      </c>
      <c r="AB49" s="39">
        <f>AB46+AB47</f>
        <v>1186666.6666666667</v>
      </c>
      <c r="AC49" s="39">
        <v>0</v>
      </c>
      <c r="AD49" s="38"/>
    </row>
    <row r="50" spans="1:30" x14ac:dyDescent="0.2">
      <c r="A50" s="1" t="s">
        <v>699</v>
      </c>
      <c r="L50" s="19"/>
      <c r="M50" s="19"/>
      <c r="N50" s="19"/>
      <c r="O50" s="19"/>
      <c r="P50" s="19"/>
      <c r="Q50" s="19"/>
      <c r="R50" s="19"/>
      <c r="S50" s="19"/>
      <c r="T50" s="19"/>
      <c r="U50" s="19"/>
      <c r="V50" s="19"/>
      <c r="W50" s="19"/>
      <c r="X50" s="19"/>
      <c r="Y50" s="19"/>
      <c r="Z50" s="19"/>
      <c r="AA50" s="19"/>
      <c r="AB50" s="19"/>
      <c r="AC50" s="19"/>
      <c r="AD50" s="19"/>
    </row>
    <row r="51" spans="1:30" x14ac:dyDescent="0.2">
      <c r="A51" s="1" t="s">
        <v>700</v>
      </c>
      <c r="J51" s="1" t="s">
        <v>100</v>
      </c>
      <c r="L51" s="19"/>
      <c r="M51" s="38">
        <f>L49/50</f>
        <v>19468.774565464231</v>
      </c>
      <c r="N51" s="38">
        <f>M51</f>
        <v>19468.774565464231</v>
      </c>
      <c r="O51" s="38">
        <f>N51</f>
        <v>19468.774565464231</v>
      </c>
      <c r="P51" s="38">
        <f>O49/49</f>
        <v>24489.795918367348</v>
      </c>
      <c r="Q51" s="38">
        <f>P51</f>
        <v>24489.795918367348</v>
      </c>
      <c r="R51" s="38">
        <f>Q51</f>
        <v>24489.795918367348</v>
      </c>
      <c r="S51" s="38">
        <f>R49/48</f>
        <v>14583.333333333334</v>
      </c>
      <c r="T51" s="38">
        <f>S51</f>
        <v>14583.333333333334</v>
      </c>
      <c r="U51" s="38">
        <f>T51</f>
        <v>14583.333333333334</v>
      </c>
      <c r="V51" s="38">
        <f>U49/47</f>
        <v>10638.297872340425</v>
      </c>
      <c r="W51" s="38">
        <f>V51</f>
        <v>10638.297872340425</v>
      </c>
      <c r="X51" s="38">
        <f>W51</f>
        <v>10638.297872340425</v>
      </c>
      <c r="Y51" s="38">
        <f>X49/46</f>
        <v>19565.217391304348</v>
      </c>
      <c r="Z51" s="38">
        <f>Y51</f>
        <v>19565.217391304348</v>
      </c>
      <c r="AA51" s="38">
        <f>Z51</f>
        <v>19565.217391304348</v>
      </c>
      <c r="AB51" s="38">
        <f>AA49/45*6/12</f>
        <v>13333.333333333334</v>
      </c>
      <c r="AC51" s="38">
        <f>AB51</f>
        <v>13333.333333333334</v>
      </c>
      <c r="AD51" s="38"/>
    </row>
    <row r="52" spans="1:30" x14ac:dyDescent="0.2">
      <c r="A52" s="1" t="s">
        <v>701</v>
      </c>
      <c r="J52" s="1" t="s">
        <v>726</v>
      </c>
      <c r="L52" s="19"/>
      <c r="M52" s="38"/>
      <c r="N52" s="38"/>
      <c r="O52" s="38"/>
      <c r="P52" s="38"/>
      <c r="Q52" s="38"/>
      <c r="R52" s="38"/>
      <c r="S52" s="38"/>
      <c r="T52" s="38"/>
      <c r="U52" s="38"/>
      <c r="V52" s="38"/>
      <c r="W52" s="38"/>
      <c r="X52" s="38">
        <f>-W48</f>
        <v>401390.11575382965</v>
      </c>
      <c r="Y52" s="38"/>
      <c r="Z52" s="38"/>
      <c r="AA52" s="38"/>
      <c r="AB52" s="38"/>
      <c r="AC52" s="38"/>
      <c r="AD52" s="38"/>
    </row>
    <row r="53" spans="1:30" x14ac:dyDescent="0.2">
      <c r="A53" s="1" t="s">
        <v>702</v>
      </c>
      <c r="J53" s="1" t="s">
        <v>727</v>
      </c>
      <c r="L53" s="19"/>
      <c r="M53" s="38"/>
      <c r="N53" s="38"/>
      <c r="O53" s="38"/>
      <c r="P53" s="38"/>
      <c r="Q53" s="38"/>
      <c r="R53" s="38">
        <f>Q49-R49-R59</f>
        <v>229480.15778938006</v>
      </c>
      <c r="S53" s="38"/>
      <c r="T53" s="38"/>
      <c r="U53" s="38">
        <f>T49-U49</f>
        <v>185416.66666666663</v>
      </c>
      <c r="V53" s="38"/>
      <c r="W53" s="38"/>
      <c r="X53" s="38"/>
      <c r="Y53" s="38"/>
      <c r="Z53" s="38"/>
      <c r="AA53" s="38"/>
      <c r="AB53" s="38"/>
      <c r="AC53" s="38"/>
      <c r="AD53" s="38"/>
    </row>
    <row r="54" spans="1:30" x14ac:dyDescent="0.2">
      <c r="A54" s="1" t="s">
        <v>703</v>
      </c>
      <c r="J54" s="1" t="s">
        <v>548</v>
      </c>
      <c r="L54" s="19"/>
      <c r="M54" s="38">
        <f>7%*L62</f>
        <v>61140.710979124822</v>
      </c>
      <c r="N54" s="38">
        <f>M54</f>
        <v>61140.710979124822</v>
      </c>
      <c r="O54" s="38">
        <f>N54</f>
        <v>61140.710979124822</v>
      </c>
      <c r="P54" s="38">
        <f>O62*7%</f>
        <v>65420.560747663563</v>
      </c>
      <c r="Q54" s="38">
        <f>P54</f>
        <v>65420.560747663563</v>
      </c>
      <c r="R54" s="38">
        <f>Q54</f>
        <v>65420.560747663563</v>
      </c>
      <c r="S54" s="100"/>
      <c r="T54" s="100"/>
      <c r="U54" s="100"/>
      <c r="V54" s="100"/>
      <c r="W54" s="100"/>
      <c r="X54" s="100"/>
      <c r="Y54" s="100"/>
      <c r="Z54" s="100"/>
      <c r="AA54" s="100"/>
      <c r="AB54" s="100"/>
      <c r="AC54" s="100"/>
      <c r="AD54" s="38"/>
    </row>
    <row r="55" spans="1:30" x14ac:dyDescent="0.2">
      <c r="A55" s="1" t="s">
        <v>704</v>
      </c>
      <c r="J55" s="1" t="s">
        <v>733</v>
      </c>
      <c r="L55" s="19"/>
      <c r="M55" s="38"/>
      <c r="N55" s="38"/>
      <c r="O55" s="38"/>
      <c r="P55" s="38"/>
      <c r="Q55" s="38"/>
      <c r="R55" s="38"/>
      <c r="S55" s="38"/>
      <c r="T55" s="38"/>
      <c r="U55" s="38"/>
      <c r="V55" s="38"/>
      <c r="W55" s="38"/>
      <c r="X55" s="38"/>
      <c r="Y55" s="38"/>
      <c r="Z55" s="38"/>
      <c r="AA55" s="38"/>
      <c r="AB55" s="38"/>
      <c r="AC55" s="38">
        <f>-Y72</f>
        <v>158629.28348909668</v>
      </c>
      <c r="AD55" s="38"/>
    </row>
    <row r="56" spans="1:30" x14ac:dyDescent="0.2">
      <c r="A56" s="1" t="s">
        <v>728</v>
      </c>
      <c r="AD56" s="21"/>
    </row>
    <row r="57" spans="1:30" x14ac:dyDescent="0.2">
      <c r="A57" s="1" t="s">
        <v>705</v>
      </c>
    </row>
    <row r="58" spans="1:30" x14ac:dyDescent="0.2">
      <c r="J58" s="1" t="s">
        <v>661</v>
      </c>
      <c r="L58" s="19"/>
      <c r="M58" s="38"/>
      <c r="N58" s="38"/>
      <c r="O58" s="38">
        <f>O49-N49</f>
        <v>246030.04629225261</v>
      </c>
      <c r="P58" s="38"/>
      <c r="Q58" s="38"/>
      <c r="R58" s="38"/>
      <c r="S58" s="38"/>
      <c r="T58" s="38"/>
      <c r="U58" s="38"/>
      <c r="V58" s="38"/>
      <c r="W58" s="38"/>
      <c r="X58" s="21">
        <f>X49-W49-X52</f>
        <v>9248.1821185108274</v>
      </c>
      <c r="Y58" s="38"/>
      <c r="Z58" s="38"/>
      <c r="AA58" s="21">
        <f>AA49-Z49</f>
        <v>319565.21739130432</v>
      </c>
      <c r="AB58" s="21"/>
      <c r="AC58" s="21"/>
      <c r="AD58" s="38"/>
    </row>
    <row r="59" spans="1:30" x14ac:dyDescent="0.2">
      <c r="C59" s="94" t="s">
        <v>656</v>
      </c>
      <c r="D59" s="94" t="s">
        <v>706</v>
      </c>
      <c r="J59" s="1" t="s">
        <v>720</v>
      </c>
      <c r="L59" s="19"/>
      <c r="M59" s="38"/>
      <c r="N59" s="38"/>
      <c r="O59" s="38"/>
      <c r="P59" s="38"/>
      <c r="Q59" s="38"/>
      <c r="R59" s="21">
        <f>Q60</f>
        <v>246030.04629225261</v>
      </c>
      <c r="S59" s="21"/>
      <c r="T59" s="21"/>
      <c r="U59" s="21"/>
      <c r="V59" s="21"/>
      <c r="W59" s="21"/>
      <c r="Y59" s="21"/>
      <c r="Z59" s="21"/>
      <c r="AD59" s="38"/>
    </row>
    <row r="60" spans="1:30" x14ac:dyDescent="0.2">
      <c r="C60" s="35">
        <v>42735</v>
      </c>
      <c r="D60" s="73">
        <v>1200000</v>
      </c>
      <c r="J60" s="1" t="s">
        <v>721</v>
      </c>
      <c r="L60" s="19"/>
      <c r="M60" s="38"/>
      <c r="N60" s="38"/>
      <c r="O60" s="38">
        <f>O58</f>
        <v>246030.04629225261</v>
      </c>
      <c r="P60" s="38">
        <f>O60</f>
        <v>246030.04629225261</v>
      </c>
      <c r="Q60" s="38">
        <f>P60</f>
        <v>246030.04629225261</v>
      </c>
      <c r="R60" s="38">
        <f>0</f>
        <v>0</v>
      </c>
      <c r="S60" s="38">
        <f>R60</f>
        <v>0</v>
      </c>
      <c r="T60" s="38">
        <f>S60</f>
        <v>0</v>
      </c>
      <c r="U60" s="38">
        <v>0</v>
      </c>
      <c r="V60" s="38">
        <v>0</v>
      </c>
      <c r="W60" s="38">
        <v>0</v>
      </c>
      <c r="X60" s="38">
        <f>X58</f>
        <v>9248.1821185108274</v>
      </c>
      <c r="Y60" s="38">
        <f>X60</f>
        <v>9248.1821185108274</v>
      </c>
      <c r="Z60" s="38">
        <f>Y60</f>
        <v>9248.1821185108274</v>
      </c>
      <c r="AA60" s="38">
        <f>AA58+Z60</f>
        <v>328813.39950981515</v>
      </c>
      <c r="AB60" s="38">
        <f>AA60</f>
        <v>328813.39950981515</v>
      </c>
      <c r="AC60" s="38">
        <v>0</v>
      </c>
      <c r="AD60" s="38"/>
    </row>
    <row r="61" spans="1:30" x14ac:dyDescent="0.2">
      <c r="C61" s="35">
        <v>43100</v>
      </c>
      <c r="D61" s="73">
        <v>700000</v>
      </c>
      <c r="L61" s="19"/>
      <c r="M61" s="38"/>
      <c r="N61" s="38"/>
      <c r="O61" s="38"/>
      <c r="P61" s="38"/>
      <c r="Q61" s="38"/>
      <c r="R61" s="38"/>
      <c r="S61" s="38"/>
      <c r="T61" s="38"/>
      <c r="U61" s="38"/>
      <c r="V61" s="38"/>
      <c r="W61" s="38"/>
      <c r="X61" s="38"/>
      <c r="Y61" s="38"/>
      <c r="Z61" s="38"/>
      <c r="AA61" s="38"/>
      <c r="AB61" s="38"/>
      <c r="AC61" s="38"/>
    </row>
    <row r="62" spans="1:30" x14ac:dyDescent="0.2">
      <c r="C62" s="35">
        <v>43465</v>
      </c>
      <c r="D62" s="73">
        <v>500000</v>
      </c>
      <c r="J62" s="1" t="s">
        <v>547</v>
      </c>
      <c r="L62" s="38">
        <f>L74</f>
        <v>873438.72827321163</v>
      </c>
      <c r="M62" s="38">
        <f>L62+M54</f>
        <v>934579.43925233651</v>
      </c>
      <c r="N62" s="38">
        <f>M62</f>
        <v>934579.43925233651</v>
      </c>
      <c r="O62" s="38">
        <f>N62</f>
        <v>934579.43925233651</v>
      </c>
      <c r="P62" s="38">
        <v>0</v>
      </c>
      <c r="Q62" s="38">
        <f>P62</f>
        <v>0</v>
      </c>
      <c r="R62" s="38">
        <v>0</v>
      </c>
      <c r="S62" s="100"/>
      <c r="T62" s="100"/>
      <c r="U62" s="100"/>
      <c r="V62" s="100"/>
      <c r="W62" s="100"/>
      <c r="X62" s="100"/>
      <c r="Y62" s="100"/>
      <c r="Z62" s="100"/>
      <c r="AA62" s="100"/>
      <c r="AB62" s="100"/>
      <c r="AC62" s="100"/>
    </row>
    <row r="63" spans="1:30" x14ac:dyDescent="0.2">
      <c r="C63" s="35">
        <v>43830</v>
      </c>
      <c r="D63" s="73">
        <v>900000</v>
      </c>
      <c r="M63" s="23"/>
      <c r="N63" s="23"/>
      <c r="O63" s="23"/>
      <c r="P63" s="23"/>
    </row>
    <row r="64" spans="1:30" x14ac:dyDescent="0.2">
      <c r="C64" s="35">
        <v>44196</v>
      </c>
      <c r="D64" s="73">
        <v>1200000</v>
      </c>
    </row>
    <row r="66" spans="1:29" x14ac:dyDescent="0.2">
      <c r="A66" s="1" t="s">
        <v>707</v>
      </c>
    </row>
    <row r="67" spans="1:29" x14ac:dyDescent="0.2">
      <c r="A67" s="1" t="s">
        <v>708</v>
      </c>
    </row>
    <row r="68" spans="1:29" x14ac:dyDescent="0.2">
      <c r="J68" s="1" t="s">
        <v>712</v>
      </c>
    </row>
    <row r="69" spans="1:29" x14ac:dyDescent="0.2">
      <c r="A69" s="1" t="s">
        <v>709</v>
      </c>
      <c r="W69" s="1" t="s">
        <v>729</v>
      </c>
    </row>
    <row r="70" spans="1:29" x14ac:dyDescent="0.2">
      <c r="A70" s="1" t="s">
        <v>710</v>
      </c>
      <c r="J70" s="1" t="s">
        <v>713</v>
      </c>
      <c r="W70" s="1" t="s">
        <v>730</v>
      </c>
      <c r="Y70" s="21">
        <f>-AB75</f>
        <v>1028037.3831775701</v>
      </c>
    </row>
    <row r="71" spans="1:29" x14ac:dyDescent="0.2">
      <c r="J71" s="1" t="s">
        <v>714</v>
      </c>
      <c r="L71" s="23">
        <v>30000</v>
      </c>
      <c r="W71" s="1" t="s">
        <v>731</v>
      </c>
      <c r="Y71" s="21">
        <f>-AB49</f>
        <v>-1186666.6666666667</v>
      </c>
    </row>
    <row r="72" spans="1:29" x14ac:dyDescent="0.2">
      <c r="J72" s="1" t="s">
        <v>715</v>
      </c>
      <c r="L72" s="23">
        <v>70000</v>
      </c>
      <c r="W72" s="1" t="s">
        <v>732</v>
      </c>
      <c r="Y72" s="22">
        <f>Y70+Y71</f>
        <v>-158629.28348909668</v>
      </c>
      <c r="AB72" s="24">
        <v>7.0000000000000007E-2</v>
      </c>
      <c r="AC72" s="1" t="s">
        <v>113</v>
      </c>
    </row>
    <row r="73" spans="1:29" x14ac:dyDescent="0.2">
      <c r="J73" s="1" t="s">
        <v>716</v>
      </c>
      <c r="AB73" s="1">
        <v>1</v>
      </c>
      <c r="AC73" s="1" t="s">
        <v>114</v>
      </c>
    </row>
    <row r="74" spans="1:29" x14ac:dyDescent="0.2">
      <c r="J74" s="1" t="s">
        <v>717</v>
      </c>
      <c r="L74" s="23">
        <f>O78</f>
        <v>873438.72827321163</v>
      </c>
      <c r="AB74" s="1">
        <v>0</v>
      </c>
      <c r="AC74" s="1" t="s">
        <v>115</v>
      </c>
    </row>
    <row r="75" spans="1:29" x14ac:dyDescent="0.2">
      <c r="J75" s="1" t="s">
        <v>293</v>
      </c>
      <c r="L75" s="51">
        <f>L71+L72+L74</f>
        <v>973438.72827321163</v>
      </c>
      <c r="O75" s="24">
        <v>7.0000000000000007E-2</v>
      </c>
      <c r="P75" s="1" t="s">
        <v>113</v>
      </c>
      <c r="AB75" s="23">
        <f>PV(AB72,AB73,AB74,AB76)</f>
        <v>-1028037.3831775701</v>
      </c>
      <c r="AC75" s="1" t="s">
        <v>116</v>
      </c>
    </row>
    <row r="76" spans="1:29" x14ac:dyDescent="0.2">
      <c r="O76" s="1">
        <v>2</v>
      </c>
      <c r="P76" s="1" t="s">
        <v>114</v>
      </c>
      <c r="AB76" s="23">
        <v>1100000</v>
      </c>
      <c r="AC76" s="1" t="s">
        <v>117</v>
      </c>
    </row>
    <row r="77" spans="1:29" x14ac:dyDescent="0.2">
      <c r="O77" s="1">
        <v>0</v>
      </c>
      <c r="P77" s="1" t="s">
        <v>115</v>
      </c>
    </row>
    <row r="78" spans="1:29" x14ac:dyDescent="0.2">
      <c r="O78" s="23">
        <f>PV(O75,O76,O77,O79)</f>
        <v>873438.72827321163</v>
      </c>
      <c r="P78" s="1" t="s">
        <v>116</v>
      </c>
    </row>
    <row r="79" spans="1:29" x14ac:dyDescent="0.2">
      <c r="O79" s="23">
        <v>-1000000</v>
      </c>
      <c r="P79" s="1" t="s">
        <v>117</v>
      </c>
    </row>
    <row r="80" spans="1:29" x14ac:dyDescent="0.2">
      <c r="A80" s="99" t="s">
        <v>734</v>
      </c>
      <c r="B80" s="99"/>
      <c r="C80" s="99"/>
      <c r="D80" s="99"/>
      <c r="E80" s="99"/>
      <c r="F80" s="99"/>
      <c r="G80" s="99"/>
      <c r="H80" s="99"/>
    </row>
    <row r="81" spans="1:32" x14ac:dyDescent="0.2">
      <c r="A81" s="1" t="s">
        <v>735</v>
      </c>
    </row>
    <row r="82" spans="1:32" x14ac:dyDescent="0.2">
      <c r="A82" s="1" t="s">
        <v>736</v>
      </c>
      <c r="M82" s="19" t="s">
        <v>711</v>
      </c>
      <c r="N82" s="19" t="s">
        <v>711</v>
      </c>
      <c r="O82" s="69" t="s">
        <v>722</v>
      </c>
      <c r="P82" s="19" t="s">
        <v>711</v>
      </c>
      <c r="Q82" s="19" t="s">
        <v>711</v>
      </c>
      <c r="R82" s="69" t="s">
        <v>722</v>
      </c>
      <c r="U82" s="69" t="s">
        <v>722</v>
      </c>
      <c r="X82" s="69" t="s">
        <v>722</v>
      </c>
      <c r="AA82" s="69" t="s">
        <v>722</v>
      </c>
      <c r="AD82" s="69" t="s">
        <v>722</v>
      </c>
      <c r="AF82" s="69" t="s">
        <v>722</v>
      </c>
    </row>
    <row r="83" spans="1:32" x14ac:dyDescent="0.2">
      <c r="A83" s="1" t="s">
        <v>737</v>
      </c>
      <c r="L83" s="19" t="s">
        <v>711</v>
      </c>
      <c r="M83" s="19" t="s">
        <v>723</v>
      </c>
      <c r="N83" s="19" t="s">
        <v>724</v>
      </c>
      <c r="O83" s="19" t="s">
        <v>725</v>
      </c>
      <c r="P83" s="19" t="s">
        <v>723</v>
      </c>
      <c r="Q83" s="19" t="s">
        <v>724</v>
      </c>
      <c r="R83" s="19" t="s">
        <v>725</v>
      </c>
      <c r="S83" s="19" t="s">
        <v>658</v>
      </c>
      <c r="T83" s="19" t="s">
        <v>724</v>
      </c>
      <c r="U83" s="19" t="s">
        <v>725</v>
      </c>
      <c r="V83" s="19" t="s">
        <v>658</v>
      </c>
      <c r="W83" s="19" t="s">
        <v>724</v>
      </c>
      <c r="X83" s="19" t="s">
        <v>725</v>
      </c>
      <c r="Y83" s="19" t="s">
        <v>658</v>
      </c>
      <c r="Z83" s="19" t="s">
        <v>724</v>
      </c>
      <c r="AA83" s="19" t="s">
        <v>725</v>
      </c>
      <c r="AB83" s="19" t="s">
        <v>658</v>
      </c>
      <c r="AC83" s="19" t="s">
        <v>724</v>
      </c>
      <c r="AD83" s="19" t="s">
        <v>725</v>
      </c>
      <c r="AE83" s="19" t="s">
        <v>332</v>
      </c>
      <c r="AF83" s="19" t="s">
        <v>752</v>
      </c>
    </row>
    <row r="84" spans="1:32" x14ac:dyDescent="0.2">
      <c r="A84" s="1" t="s">
        <v>751</v>
      </c>
      <c r="L84" s="36">
        <v>42005</v>
      </c>
      <c r="M84" s="36">
        <v>42369</v>
      </c>
      <c r="N84" s="36">
        <v>42369</v>
      </c>
      <c r="O84" s="36">
        <v>42369</v>
      </c>
      <c r="P84" s="36">
        <v>42735</v>
      </c>
      <c r="Q84" s="36">
        <v>42735</v>
      </c>
      <c r="R84" s="36">
        <v>42735</v>
      </c>
      <c r="S84" s="36">
        <v>43100</v>
      </c>
      <c r="T84" s="36">
        <v>43100</v>
      </c>
      <c r="U84" s="36">
        <v>43100</v>
      </c>
      <c r="V84" s="36">
        <v>43465</v>
      </c>
      <c r="W84" s="36">
        <v>43465</v>
      </c>
      <c r="X84" s="36">
        <v>43465</v>
      </c>
      <c r="Y84" s="36">
        <v>43830</v>
      </c>
      <c r="Z84" s="36">
        <v>43830</v>
      </c>
      <c r="AA84" s="36">
        <v>43830</v>
      </c>
      <c r="AB84" s="36">
        <v>44196</v>
      </c>
      <c r="AC84" s="36">
        <v>44196</v>
      </c>
      <c r="AD84" s="36">
        <v>44196</v>
      </c>
      <c r="AE84" s="36">
        <v>44287</v>
      </c>
      <c r="AF84" s="36">
        <v>44561</v>
      </c>
    </row>
    <row r="85" spans="1:32" x14ac:dyDescent="0.2">
      <c r="A85" s="1" t="s">
        <v>738</v>
      </c>
      <c r="J85" s="1" t="s">
        <v>719</v>
      </c>
      <c r="L85" s="38">
        <v>100000</v>
      </c>
      <c r="M85" s="38">
        <f>L85</f>
        <v>100000</v>
      </c>
      <c r="N85" s="38">
        <f>N88</f>
        <v>95000</v>
      </c>
      <c r="O85" s="38">
        <f>O88</f>
        <v>140000</v>
      </c>
      <c r="P85" s="38">
        <f>O85</f>
        <v>140000</v>
      </c>
      <c r="Q85" s="38">
        <f>Q88</f>
        <v>132631.57894736843</v>
      </c>
      <c r="R85" s="38">
        <f>R88</f>
        <v>150000</v>
      </c>
      <c r="S85" s="38">
        <f>R85</f>
        <v>150000</v>
      </c>
      <c r="T85" s="38">
        <f>T88</f>
        <v>141666.66666666666</v>
      </c>
      <c r="U85" s="38">
        <f>U88</f>
        <v>100000</v>
      </c>
      <c r="V85" s="38">
        <f>U85</f>
        <v>100000</v>
      </c>
      <c r="W85" s="38">
        <f>W88</f>
        <v>94117.647058823524</v>
      </c>
      <c r="X85" s="38">
        <f>X88-X87</f>
        <v>73415.892672858608</v>
      </c>
      <c r="Y85" s="38">
        <f>X85</f>
        <v>73415.892672858608</v>
      </c>
      <c r="Z85" s="38">
        <f>Z88-Z87</f>
        <v>68827.399380804942</v>
      </c>
      <c r="AA85" s="38">
        <f>AA88-AA87-AA86</f>
        <v>68827.399380804942</v>
      </c>
      <c r="AB85" s="38">
        <f>AA85</f>
        <v>68827.399380804942</v>
      </c>
      <c r="AC85" s="38">
        <f>AC88-AC87-AC86</f>
        <v>64238.906088751275</v>
      </c>
      <c r="AD85" s="38">
        <f>AD88</f>
        <v>98000</v>
      </c>
      <c r="AE85" s="38">
        <f>AD85</f>
        <v>98000</v>
      </c>
      <c r="AF85" s="38">
        <v>0</v>
      </c>
    </row>
    <row r="86" spans="1:32" x14ac:dyDescent="0.2">
      <c r="A86" s="1" t="s">
        <v>739</v>
      </c>
      <c r="J86" s="1" t="s">
        <v>96</v>
      </c>
      <c r="L86" s="19">
        <v>0</v>
      </c>
      <c r="M86" s="21">
        <f>-M90</f>
        <v>-5000</v>
      </c>
      <c r="N86" s="21">
        <v>0</v>
      </c>
      <c r="O86" s="21">
        <v>0</v>
      </c>
      <c r="P86" s="21">
        <f>-P90</f>
        <v>-7368.4210526315792</v>
      </c>
      <c r="Q86" s="21">
        <v>0</v>
      </c>
      <c r="R86" s="21">
        <v>0</v>
      </c>
      <c r="S86" s="21">
        <f>-S90</f>
        <v>-8333.3333333333339</v>
      </c>
      <c r="T86" s="21">
        <v>0</v>
      </c>
      <c r="U86" s="21">
        <v>0</v>
      </c>
      <c r="V86" s="21">
        <f>-V90</f>
        <v>-5882.3529411764703</v>
      </c>
      <c r="W86" s="21">
        <v>0</v>
      </c>
      <c r="X86" s="21">
        <v>0</v>
      </c>
      <c r="Y86" s="21">
        <f>-Y90+X87/16</f>
        <v>-4588.493292053663</v>
      </c>
      <c r="Z86" s="21">
        <v>0</v>
      </c>
      <c r="AA86" s="21">
        <v>0</v>
      </c>
      <c r="AB86" s="21">
        <f>-AB90+AA87/15</f>
        <v>-4588.493292053663</v>
      </c>
      <c r="AC86" s="21">
        <v>0</v>
      </c>
      <c r="AD86" s="21">
        <v>0</v>
      </c>
      <c r="AE86" s="21">
        <f>-AE90</f>
        <v>-1750</v>
      </c>
      <c r="AF86" s="21">
        <v>0</v>
      </c>
    </row>
    <row r="87" spans="1:32" x14ac:dyDescent="0.2">
      <c r="A87" s="1" t="s">
        <v>740</v>
      </c>
      <c r="J87" s="1" t="s">
        <v>718</v>
      </c>
      <c r="L87" s="19">
        <v>0</v>
      </c>
      <c r="M87" s="19">
        <v>0</v>
      </c>
      <c r="N87" s="19">
        <v>0</v>
      </c>
      <c r="O87" s="19">
        <v>0</v>
      </c>
      <c r="P87" s="19">
        <v>0</v>
      </c>
      <c r="Q87" s="19">
        <v>0</v>
      </c>
      <c r="R87" s="21">
        <v>0</v>
      </c>
      <c r="S87" s="21">
        <v>0</v>
      </c>
      <c r="T87" s="21">
        <v>0</v>
      </c>
      <c r="U87" s="21">
        <v>0</v>
      </c>
      <c r="V87" s="21">
        <v>0</v>
      </c>
      <c r="W87" s="21">
        <v>0</v>
      </c>
      <c r="X87" s="21">
        <f>-X92</f>
        <v>-13415.892672858608</v>
      </c>
      <c r="Y87" s="21">
        <f>X87*15/16</f>
        <v>-12577.399380804945</v>
      </c>
      <c r="Z87" s="21">
        <f>Y87</f>
        <v>-12577.399380804945</v>
      </c>
      <c r="AA87" s="21">
        <f>Z87-AA92</f>
        <v>-28827.399380804945</v>
      </c>
      <c r="AB87" s="21">
        <f>AA87*14/15</f>
        <v>-26905.57275541795</v>
      </c>
      <c r="AC87" s="21">
        <f>AB87</f>
        <v>-26905.57275541795</v>
      </c>
      <c r="AD87" s="21">
        <v>0</v>
      </c>
      <c r="AE87" s="21">
        <v>0</v>
      </c>
      <c r="AF87" s="21">
        <v>0</v>
      </c>
    </row>
    <row r="88" spans="1:32" x14ac:dyDescent="0.2">
      <c r="A88" s="1" t="s">
        <v>741</v>
      </c>
      <c r="J88" s="1" t="s">
        <v>99</v>
      </c>
      <c r="L88" s="39">
        <f>L85</f>
        <v>100000</v>
      </c>
      <c r="M88" s="39">
        <f>M85+M86</f>
        <v>95000</v>
      </c>
      <c r="N88" s="39">
        <f>M88</f>
        <v>95000</v>
      </c>
      <c r="O88" s="39">
        <f>B97</f>
        <v>140000</v>
      </c>
      <c r="P88" s="39">
        <f>P85+P86</f>
        <v>132631.57894736843</v>
      </c>
      <c r="Q88" s="39">
        <f>P88</f>
        <v>132631.57894736843</v>
      </c>
      <c r="R88" s="39">
        <f>B98</f>
        <v>150000</v>
      </c>
      <c r="S88" s="39">
        <f>S85+S86</f>
        <v>141666.66666666666</v>
      </c>
      <c r="T88" s="39">
        <f>S88</f>
        <v>141666.66666666666</v>
      </c>
      <c r="U88" s="39">
        <f>B99</f>
        <v>100000</v>
      </c>
      <c r="V88" s="39">
        <f>V85+V86</f>
        <v>94117.647058823524</v>
      </c>
      <c r="W88" s="39">
        <f>V88</f>
        <v>94117.647058823524</v>
      </c>
      <c r="X88" s="39">
        <f>B100</f>
        <v>60000</v>
      </c>
      <c r="Y88" s="39">
        <f>Y85+Y86+Y87</f>
        <v>56250</v>
      </c>
      <c r="Z88" s="39">
        <f>Y88</f>
        <v>56250</v>
      </c>
      <c r="AA88" s="39">
        <f>B101</f>
        <v>40000</v>
      </c>
      <c r="AB88" s="39">
        <f>AB85+AB86+AB87</f>
        <v>37333.333333333328</v>
      </c>
      <c r="AC88" s="39">
        <f>AB88</f>
        <v>37333.333333333328</v>
      </c>
      <c r="AD88" s="39">
        <f>B102</f>
        <v>98000</v>
      </c>
      <c r="AE88" s="39">
        <f>AE85+AE86</f>
        <v>96250</v>
      </c>
      <c r="AF88" s="39">
        <v>0</v>
      </c>
    </row>
    <row r="89" spans="1:32" x14ac:dyDescent="0.2">
      <c r="A89" s="1" t="s">
        <v>742</v>
      </c>
      <c r="L89" s="19"/>
      <c r="M89" s="19"/>
      <c r="N89" s="19"/>
      <c r="O89" s="19"/>
      <c r="P89" s="19"/>
      <c r="Q89" s="19"/>
      <c r="R89" s="19"/>
      <c r="S89" s="19"/>
      <c r="T89" s="19"/>
      <c r="U89" s="19"/>
      <c r="V89" s="19"/>
      <c r="W89" s="19"/>
      <c r="X89" s="19"/>
      <c r="Y89" s="19"/>
      <c r="Z89" s="19"/>
      <c r="AA89" s="19"/>
      <c r="AB89" s="19"/>
      <c r="AC89" s="19"/>
      <c r="AD89" s="19"/>
      <c r="AE89" s="19"/>
      <c r="AF89" s="19"/>
    </row>
    <row r="90" spans="1:32" x14ac:dyDescent="0.2">
      <c r="A90" s="1" t="s">
        <v>743</v>
      </c>
      <c r="J90" s="1" t="s">
        <v>100</v>
      </c>
      <c r="L90" s="19"/>
      <c r="M90" s="38">
        <f>L88/20</f>
        <v>5000</v>
      </c>
      <c r="N90" s="38">
        <f>M90</f>
        <v>5000</v>
      </c>
      <c r="O90" s="38">
        <f>N90</f>
        <v>5000</v>
      </c>
      <c r="P90" s="38">
        <f>O88/19</f>
        <v>7368.4210526315792</v>
      </c>
      <c r="Q90" s="38">
        <f>P90</f>
        <v>7368.4210526315792</v>
      </c>
      <c r="R90" s="38">
        <f>Q90</f>
        <v>7368.4210526315792</v>
      </c>
      <c r="S90" s="38">
        <f>R88/18</f>
        <v>8333.3333333333339</v>
      </c>
      <c r="T90" s="38">
        <f>S90</f>
        <v>8333.3333333333339</v>
      </c>
      <c r="U90" s="38">
        <f>T90</f>
        <v>8333.3333333333339</v>
      </c>
      <c r="V90" s="38">
        <f>U88/17</f>
        <v>5882.3529411764703</v>
      </c>
      <c r="W90" s="38">
        <f>V90</f>
        <v>5882.3529411764703</v>
      </c>
      <c r="X90" s="38">
        <f>W90</f>
        <v>5882.3529411764703</v>
      </c>
      <c r="Y90" s="38">
        <f>X88/16</f>
        <v>3750</v>
      </c>
      <c r="Z90" s="38">
        <f>Y90</f>
        <v>3750</v>
      </c>
      <c r="AA90" s="38">
        <f>Z90</f>
        <v>3750</v>
      </c>
      <c r="AB90" s="38">
        <f>AA88/15</f>
        <v>2666.6666666666665</v>
      </c>
      <c r="AC90" s="38">
        <f>AB90</f>
        <v>2666.6666666666665</v>
      </c>
      <c r="AD90" s="38">
        <f>AC90</f>
        <v>2666.6666666666665</v>
      </c>
      <c r="AE90" s="38">
        <f>AD88/14*3/12</f>
        <v>1750</v>
      </c>
      <c r="AF90" s="38">
        <f>AE90</f>
        <v>1750</v>
      </c>
    </row>
    <row r="91" spans="1:32" x14ac:dyDescent="0.2">
      <c r="A91" s="1" t="s">
        <v>744</v>
      </c>
      <c r="J91" s="1" t="s">
        <v>726</v>
      </c>
      <c r="L91" s="19"/>
      <c r="M91" s="38"/>
      <c r="N91" s="38"/>
      <c r="O91" s="38"/>
      <c r="P91" s="38"/>
      <c r="Q91" s="38"/>
      <c r="R91" s="38"/>
      <c r="S91" s="38"/>
      <c r="T91" s="38"/>
      <c r="U91" s="38"/>
      <c r="V91" s="38"/>
      <c r="W91" s="38"/>
      <c r="X91" s="38"/>
      <c r="Y91" s="38"/>
      <c r="Z91" s="38"/>
      <c r="AA91" s="38"/>
      <c r="AB91" s="38"/>
      <c r="AC91" s="38"/>
      <c r="AD91" s="38">
        <f>-AC87</f>
        <v>26905.57275541795</v>
      </c>
      <c r="AE91" s="38"/>
      <c r="AF91" s="38"/>
    </row>
    <row r="92" spans="1:32" x14ac:dyDescent="0.2">
      <c r="A92" s="1" t="s">
        <v>745</v>
      </c>
      <c r="J92" s="1" t="s">
        <v>727</v>
      </c>
      <c r="L92" s="19"/>
      <c r="M92" s="38"/>
      <c r="N92" s="38"/>
      <c r="O92" s="38"/>
      <c r="P92" s="38"/>
      <c r="Q92" s="38"/>
      <c r="R92" s="38"/>
      <c r="S92" s="38"/>
      <c r="T92" s="38"/>
      <c r="U92" s="38"/>
      <c r="V92" s="38"/>
      <c r="W92" s="38"/>
      <c r="X92" s="38">
        <f>W88-X88-X98</f>
        <v>13415.892672858608</v>
      </c>
      <c r="Y92" s="38"/>
      <c r="Z92" s="38"/>
      <c r="AA92" s="38">
        <f>Z88-AA88</f>
        <v>16250</v>
      </c>
      <c r="AB92" s="38"/>
      <c r="AC92" s="38"/>
      <c r="AD92" s="38"/>
      <c r="AE92" s="38"/>
      <c r="AF92" s="38"/>
    </row>
    <row r="93" spans="1:32" x14ac:dyDescent="0.2">
      <c r="L93" s="19"/>
      <c r="M93" s="38"/>
      <c r="N93" s="38"/>
      <c r="O93" s="38"/>
      <c r="P93" s="38"/>
      <c r="Q93" s="38"/>
      <c r="R93" s="38"/>
      <c r="S93" s="100"/>
      <c r="T93" s="100"/>
      <c r="U93" s="100"/>
      <c r="V93" s="100"/>
      <c r="W93" s="100"/>
      <c r="X93" s="100"/>
      <c r="Y93" s="100"/>
      <c r="Z93" s="100"/>
      <c r="AA93" s="100"/>
      <c r="AB93" s="100"/>
      <c r="AC93" s="100"/>
      <c r="AD93" s="100"/>
      <c r="AE93" s="100"/>
      <c r="AF93" s="100"/>
    </row>
    <row r="94" spans="1:32" x14ac:dyDescent="0.2">
      <c r="A94" s="1" t="s">
        <v>746</v>
      </c>
      <c r="J94" s="1" t="s">
        <v>753</v>
      </c>
      <c r="L94" s="19"/>
      <c r="M94" s="38"/>
      <c r="N94" s="38"/>
      <c r="O94" s="38"/>
      <c r="P94" s="38"/>
      <c r="Q94" s="38"/>
      <c r="R94" s="38"/>
      <c r="S94" s="38"/>
      <c r="T94" s="38"/>
      <c r="U94" s="38"/>
      <c r="V94" s="38"/>
      <c r="W94" s="38"/>
      <c r="X94" s="38"/>
      <c r="Y94" s="38"/>
      <c r="Z94" s="38"/>
      <c r="AA94" s="38"/>
      <c r="AB94" s="38"/>
      <c r="AC94" s="38"/>
      <c r="AD94" s="38"/>
      <c r="AE94" s="38"/>
      <c r="AF94" s="38">
        <f>106000-AE88</f>
        <v>9750</v>
      </c>
    </row>
    <row r="95" spans="1:32" x14ac:dyDescent="0.2">
      <c r="X95" s="19"/>
    </row>
    <row r="96" spans="1:32" x14ac:dyDescent="0.2">
      <c r="A96" s="94" t="s">
        <v>656</v>
      </c>
      <c r="B96" s="94" t="s">
        <v>747</v>
      </c>
      <c r="X96" s="19"/>
    </row>
    <row r="97" spans="1:32" x14ac:dyDescent="0.2">
      <c r="A97" s="35">
        <v>42369</v>
      </c>
      <c r="B97" s="23">
        <v>140000</v>
      </c>
      <c r="J97" s="1" t="s">
        <v>661</v>
      </c>
      <c r="L97" s="19"/>
      <c r="M97" s="38"/>
      <c r="N97" s="38"/>
      <c r="O97" s="38">
        <f>O88-N88</f>
        <v>45000</v>
      </c>
      <c r="P97" s="38"/>
      <c r="Q97" s="38"/>
      <c r="R97" s="38">
        <f>R88-Q88</f>
        <v>17368.421052631573</v>
      </c>
      <c r="S97" s="38"/>
      <c r="T97" s="38"/>
      <c r="U97" s="38"/>
      <c r="V97" s="38"/>
      <c r="W97" s="38"/>
      <c r="X97" s="21"/>
      <c r="Y97" s="38"/>
      <c r="Z97" s="38"/>
      <c r="AA97" s="21"/>
      <c r="AB97" s="38"/>
      <c r="AC97" s="38"/>
      <c r="AD97" s="21">
        <f>AD88-AC88-AD91</f>
        <v>33761.093911248725</v>
      </c>
      <c r="AE97" s="38"/>
      <c r="AF97" s="21"/>
    </row>
    <row r="98" spans="1:32" x14ac:dyDescent="0.2">
      <c r="A98" s="35">
        <v>42735</v>
      </c>
      <c r="B98" s="23">
        <v>150000</v>
      </c>
      <c r="J98" s="1" t="s">
        <v>720</v>
      </c>
      <c r="L98" s="19"/>
      <c r="M98" s="38"/>
      <c r="N98" s="38"/>
      <c r="O98" s="38"/>
      <c r="P98" s="38"/>
      <c r="Q98" s="38"/>
      <c r="R98" s="21"/>
      <c r="S98" s="21"/>
      <c r="T98" s="21"/>
      <c r="U98" s="21">
        <f>T88-U88</f>
        <v>41666.666666666657</v>
      </c>
      <c r="V98" s="21"/>
      <c r="W98" s="21"/>
      <c r="X98" s="38">
        <f>W99</f>
        <v>20701.754385964916</v>
      </c>
      <c r="Y98" s="21"/>
      <c r="Z98" s="21"/>
      <c r="AB98" s="21"/>
      <c r="AC98" s="21"/>
      <c r="AE98" s="21"/>
    </row>
    <row r="99" spans="1:32" x14ac:dyDescent="0.2">
      <c r="A99" s="35">
        <v>43100</v>
      </c>
      <c r="B99" s="23">
        <v>100000</v>
      </c>
      <c r="J99" s="1" t="s">
        <v>721</v>
      </c>
      <c r="L99" s="19"/>
      <c r="M99" s="38"/>
      <c r="N99" s="38"/>
      <c r="O99" s="38">
        <f>O97</f>
        <v>45000</v>
      </c>
      <c r="P99" s="38">
        <f>O99</f>
        <v>45000</v>
      </c>
      <c r="Q99" s="38">
        <f>P99</f>
        <v>45000</v>
      </c>
      <c r="R99" s="38">
        <f>R97+Q99</f>
        <v>62368.421052631573</v>
      </c>
      <c r="S99" s="38">
        <f>R99</f>
        <v>62368.421052631573</v>
      </c>
      <c r="T99" s="38">
        <f>S99</f>
        <v>62368.421052631573</v>
      </c>
      <c r="U99" s="38">
        <f>T99-U98</f>
        <v>20701.754385964916</v>
      </c>
      <c r="V99" s="38">
        <f>U99</f>
        <v>20701.754385964916</v>
      </c>
      <c r="W99" s="38">
        <f>V99</f>
        <v>20701.754385964916</v>
      </c>
      <c r="X99" s="38">
        <v>0</v>
      </c>
      <c r="Y99" s="38"/>
      <c r="Z99" s="38"/>
      <c r="AA99" s="38"/>
      <c r="AB99" s="38"/>
      <c r="AC99" s="38"/>
      <c r="AD99" s="38">
        <f>AD97</f>
        <v>33761.093911248725</v>
      </c>
      <c r="AE99" s="38">
        <f>AD99</f>
        <v>33761.093911248725</v>
      </c>
      <c r="AF99" s="38">
        <v>0</v>
      </c>
    </row>
    <row r="100" spans="1:32" x14ac:dyDescent="0.2">
      <c r="A100" s="35">
        <v>43465</v>
      </c>
      <c r="B100" s="23">
        <v>60000</v>
      </c>
      <c r="L100" s="19"/>
      <c r="M100" s="38"/>
      <c r="N100" s="38"/>
      <c r="O100" s="38"/>
      <c r="P100" s="38"/>
      <c r="Q100" s="38"/>
      <c r="R100" s="38"/>
      <c r="S100" s="38"/>
      <c r="T100" s="38"/>
      <c r="U100" s="38"/>
      <c r="V100" s="38"/>
      <c r="W100" s="38"/>
      <c r="X100" s="38"/>
      <c r="Y100" s="38"/>
      <c r="Z100" s="38"/>
      <c r="AA100" s="38"/>
      <c r="AB100" s="38"/>
      <c r="AC100" s="38"/>
      <c r="AE100" s="38"/>
    </row>
    <row r="101" spans="1:32" x14ac:dyDescent="0.2">
      <c r="A101" s="35">
        <v>43830</v>
      </c>
      <c r="B101" s="23">
        <v>40000</v>
      </c>
      <c r="L101" s="38"/>
      <c r="M101" s="38"/>
      <c r="N101" s="38"/>
      <c r="O101" s="38"/>
      <c r="P101" s="38"/>
      <c r="Q101" s="38"/>
      <c r="R101" s="38"/>
      <c r="S101" s="38"/>
      <c r="T101" s="38"/>
      <c r="U101" s="38"/>
      <c r="V101" s="38"/>
      <c r="W101" s="38"/>
      <c r="X101" s="38"/>
      <c r="Y101" s="38"/>
      <c r="Z101" s="38"/>
      <c r="AA101" s="38"/>
      <c r="AB101" s="38"/>
      <c r="AC101" s="38"/>
    </row>
    <row r="102" spans="1:32" x14ac:dyDescent="0.2">
      <c r="A102" s="35">
        <v>44196</v>
      </c>
      <c r="B102" s="23">
        <v>98000</v>
      </c>
    </row>
    <row r="104" spans="1:32" x14ac:dyDescent="0.2">
      <c r="A104" s="1" t="s">
        <v>748</v>
      </c>
    </row>
    <row r="105" spans="1:32" x14ac:dyDescent="0.2">
      <c r="A105" s="1" t="s">
        <v>749</v>
      </c>
    </row>
    <row r="107" spans="1:32" x14ac:dyDescent="0.2">
      <c r="A107" s="1" t="s">
        <v>750</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09DB5F-F629-C24B-A84A-92583FB80C1C}">
  <dimension ref="A1:P149"/>
  <sheetViews>
    <sheetView rightToLeft="1" zoomScale="160" zoomScaleNormal="160" workbookViewId="0">
      <pane xSplit="2" topLeftCell="C1" activePane="topRight" state="frozen"/>
      <selection activeCell="A65" sqref="A65"/>
      <selection pane="topRight" activeCell="D14" sqref="D14"/>
    </sheetView>
  </sheetViews>
  <sheetFormatPr baseColWidth="10" defaultRowHeight="16" x14ac:dyDescent="0.2"/>
  <sheetData>
    <row r="1" spans="1:8" s="1" customFormat="1" ht="18" x14ac:dyDescent="0.2">
      <c r="A1" s="101" t="s">
        <v>754</v>
      </c>
      <c r="B1" s="101"/>
      <c r="C1" s="101"/>
      <c r="D1" s="101"/>
      <c r="E1" s="101"/>
      <c r="F1" s="101"/>
      <c r="G1" s="101"/>
      <c r="H1" s="101"/>
    </row>
    <row r="2" spans="1:8" s="1" customFormat="1" x14ac:dyDescent="0.2">
      <c r="A2" s="2"/>
      <c r="B2" s="2"/>
      <c r="C2" s="2"/>
      <c r="D2" s="2"/>
      <c r="E2" s="2"/>
      <c r="F2" s="2"/>
      <c r="G2" s="2"/>
      <c r="H2" s="2"/>
    </row>
    <row r="3" spans="1:8" s="1" customFormat="1" x14ac:dyDescent="0.2">
      <c r="A3" s="98" t="s">
        <v>755</v>
      </c>
      <c r="B3" s="98"/>
      <c r="C3" s="98"/>
      <c r="D3" s="98"/>
      <c r="E3" s="98"/>
      <c r="F3" s="98"/>
      <c r="G3" s="98"/>
      <c r="H3" s="98"/>
    </row>
    <row r="4" spans="1:8" s="1" customFormat="1" x14ac:dyDescent="0.2">
      <c r="A4" s="98" t="s">
        <v>756</v>
      </c>
      <c r="B4" s="98"/>
      <c r="C4" s="98"/>
      <c r="D4" s="98"/>
      <c r="E4" s="98"/>
      <c r="F4" s="98"/>
      <c r="G4" s="98"/>
      <c r="H4" s="98"/>
    </row>
    <row r="5" spans="1:8" s="1" customFormat="1" x14ac:dyDescent="0.2">
      <c r="A5" s="98" t="s">
        <v>757</v>
      </c>
      <c r="B5" s="98"/>
      <c r="C5" s="98"/>
      <c r="D5" s="98"/>
      <c r="E5" s="98"/>
      <c r="F5" s="98"/>
      <c r="G5" s="98"/>
      <c r="H5" s="98"/>
    </row>
    <row r="6" spans="1:8" s="1" customFormat="1" x14ac:dyDescent="0.2">
      <c r="A6" s="98" t="s">
        <v>758</v>
      </c>
      <c r="B6" s="98"/>
      <c r="C6" s="98"/>
      <c r="D6" s="98"/>
      <c r="E6" s="98"/>
      <c r="F6" s="98"/>
      <c r="G6" s="98"/>
      <c r="H6" s="98"/>
    </row>
    <row r="7" spans="1:8" s="1" customFormat="1" x14ac:dyDescent="0.2">
      <c r="A7" s="2"/>
      <c r="B7" s="2"/>
      <c r="C7" s="2"/>
      <c r="D7" s="2"/>
      <c r="E7" s="2"/>
      <c r="F7" s="2"/>
      <c r="G7" s="2"/>
      <c r="H7" s="2"/>
    </row>
    <row r="8" spans="1:8" s="1" customFormat="1" x14ac:dyDescent="0.2">
      <c r="A8" s="2" t="s">
        <v>759</v>
      </c>
      <c r="B8" s="2"/>
      <c r="C8" s="2"/>
      <c r="D8" s="2"/>
      <c r="E8" s="2"/>
      <c r="F8" s="2"/>
      <c r="G8" s="2"/>
      <c r="H8" s="2"/>
    </row>
    <row r="9" spans="1:8" s="1" customFormat="1" x14ac:dyDescent="0.2">
      <c r="A9" s="2"/>
      <c r="B9" s="2" t="s">
        <v>760</v>
      </c>
      <c r="C9" s="2"/>
      <c r="D9" s="2"/>
      <c r="E9" s="2"/>
      <c r="F9" s="2"/>
      <c r="G9" s="2"/>
      <c r="H9" s="2"/>
    </row>
    <row r="10" spans="1:8" s="1" customFormat="1" x14ac:dyDescent="0.2">
      <c r="A10" s="2"/>
      <c r="B10" s="2" t="s">
        <v>761</v>
      </c>
      <c r="C10" s="2"/>
      <c r="D10" s="2"/>
      <c r="E10" s="2"/>
      <c r="F10" s="2"/>
      <c r="G10" s="2"/>
      <c r="H10" s="2"/>
    </row>
    <row r="11" spans="1:8" s="1" customFormat="1" x14ac:dyDescent="0.2">
      <c r="A11" s="2"/>
      <c r="B11" s="2"/>
      <c r="C11" s="2"/>
      <c r="D11" s="2"/>
      <c r="E11" s="2"/>
      <c r="F11" s="2"/>
      <c r="G11" s="2"/>
      <c r="H11" s="2"/>
    </row>
    <row r="12" spans="1:8" s="1" customFormat="1" x14ac:dyDescent="0.2">
      <c r="A12" s="2" t="s">
        <v>762</v>
      </c>
      <c r="B12" s="2"/>
      <c r="C12" s="2"/>
      <c r="D12" s="2"/>
      <c r="E12" s="2"/>
      <c r="F12" s="2"/>
      <c r="G12" s="2"/>
      <c r="H12" s="2"/>
    </row>
    <row r="13" spans="1:8" s="1" customFormat="1" x14ac:dyDescent="0.2">
      <c r="A13" s="2"/>
      <c r="B13" s="1" t="s">
        <v>763</v>
      </c>
      <c r="C13" s="2"/>
      <c r="D13" s="2"/>
      <c r="E13" s="2"/>
      <c r="F13" s="2"/>
      <c r="G13" s="2"/>
      <c r="H13" s="2"/>
    </row>
    <row r="14" spans="1:8" s="1" customFormat="1" x14ac:dyDescent="0.2">
      <c r="A14" s="2"/>
      <c r="B14" s="1" t="s">
        <v>764</v>
      </c>
      <c r="C14" s="2"/>
      <c r="D14" s="2"/>
      <c r="E14" s="2"/>
      <c r="F14" s="2"/>
      <c r="G14" s="2"/>
      <c r="H14" s="2"/>
    </row>
    <row r="15" spans="1:8" s="1" customFormat="1" x14ac:dyDescent="0.2">
      <c r="A15" s="2"/>
      <c r="B15" s="1" t="s">
        <v>765</v>
      </c>
      <c r="C15" s="2"/>
      <c r="D15" s="2"/>
      <c r="E15" s="2"/>
      <c r="F15" s="2"/>
      <c r="G15" s="2"/>
      <c r="H15" s="2"/>
    </row>
    <row r="16" spans="1:8" s="1" customFormat="1" x14ac:dyDescent="0.2">
      <c r="A16" s="2"/>
      <c r="B16" s="2"/>
      <c r="C16" s="2"/>
      <c r="D16" s="2"/>
      <c r="E16" s="2"/>
      <c r="F16" s="2"/>
      <c r="G16" s="2"/>
      <c r="H16" s="2"/>
    </row>
    <row r="17" spans="1:8" s="1" customFormat="1" x14ac:dyDescent="0.2">
      <c r="A17" s="2"/>
      <c r="B17" s="1" t="s">
        <v>766</v>
      </c>
      <c r="C17" s="2"/>
      <c r="D17" s="2"/>
      <c r="E17" s="2"/>
      <c r="F17" s="2"/>
      <c r="G17" s="2"/>
      <c r="H17" s="2"/>
    </row>
    <row r="18" spans="1:8" s="1" customFormat="1" x14ac:dyDescent="0.2">
      <c r="A18" s="2"/>
      <c r="B18" s="1" t="s">
        <v>767</v>
      </c>
      <c r="C18" s="2"/>
      <c r="D18" s="2"/>
      <c r="E18" s="2"/>
      <c r="F18" s="2"/>
      <c r="G18" s="2"/>
      <c r="H18" s="2"/>
    </row>
    <row r="19" spans="1:8" s="1" customFormat="1" x14ac:dyDescent="0.2">
      <c r="A19" s="2"/>
      <c r="B19" s="1" t="s">
        <v>768</v>
      </c>
      <c r="C19" s="2"/>
      <c r="D19" s="2"/>
      <c r="E19" s="2"/>
      <c r="F19" s="2"/>
      <c r="G19" s="2"/>
      <c r="H19" s="2"/>
    </row>
    <row r="20" spans="1:8" s="1" customFormat="1" x14ac:dyDescent="0.2">
      <c r="A20" s="2"/>
      <c r="B20" s="2"/>
      <c r="C20" s="2"/>
      <c r="D20" s="2"/>
      <c r="E20" s="2"/>
      <c r="F20" s="2"/>
      <c r="G20" s="2"/>
      <c r="H20" s="2"/>
    </row>
    <row r="21" spans="1:8" s="1" customFormat="1" x14ac:dyDescent="0.2">
      <c r="A21" s="2"/>
      <c r="B21" s="2" t="s">
        <v>769</v>
      </c>
      <c r="C21" s="2"/>
      <c r="D21" s="2"/>
      <c r="E21" s="2"/>
      <c r="F21" s="2"/>
      <c r="G21" s="2"/>
      <c r="H21" s="2"/>
    </row>
    <row r="22" spans="1:8" s="1" customFormat="1" x14ac:dyDescent="0.2">
      <c r="A22" s="2"/>
      <c r="B22" s="2" t="s">
        <v>770</v>
      </c>
      <c r="C22" s="2"/>
      <c r="D22" s="2"/>
      <c r="E22" s="2"/>
      <c r="F22" s="2"/>
      <c r="G22" s="2"/>
      <c r="H22" s="2"/>
    </row>
    <row r="23" spans="1:8" s="1" customFormat="1" x14ac:dyDescent="0.2">
      <c r="A23" s="2"/>
      <c r="B23" s="2"/>
      <c r="C23" s="2"/>
      <c r="D23" s="2"/>
      <c r="E23" s="2"/>
      <c r="F23" s="2"/>
      <c r="G23" s="2"/>
      <c r="H23" s="2"/>
    </row>
    <row r="24" spans="1:8" s="1" customFormat="1" x14ac:dyDescent="0.2">
      <c r="A24" s="2"/>
      <c r="B24" s="2" t="s">
        <v>771</v>
      </c>
      <c r="C24" s="2" t="s">
        <v>100</v>
      </c>
      <c r="D24" s="2"/>
      <c r="E24" s="102">
        <v>500000</v>
      </c>
      <c r="F24" s="2"/>
      <c r="G24" s="2" t="s">
        <v>772</v>
      </c>
      <c r="H24" s="2"/>
    </row>
    <row r="25" spans="1:8" s="1" customFormat="1" x14ac:dyDescent="0.2">
      <c r="A25" s="2"/>
      <c r="B25" s="2" t="s">
        <v>773</v>
      </c>
      <c r="C25" s="2" t="s">
        <v>100</v>
      </c>
      <c r="D25" s="2"/>
      <c r="E25" s="102">
        <f>14000000/19</f>
        <v>736842.10526315786</v>
      </c>
      <c r="F25" s="2"/>
      <c r="G25" s="2" t="s">
        <v>774</v>
      </c>
      <c r="H25" s="2"/>
    </row>
    <row r="26" spans="1:8" s="1" customFormat="1" x14ac:dyDescent="0.2">
      <c r="A26" s="2"/>
      <c r="B26" s="2" t="s">
        <v>775</v>
      </c>
      <c r="C26" s="2" t="s">
        <v>100</v>
      </c>
      <c r="D26" s="2"/>
      <c r="E26" s="102">
        <f>1000000</f>
        <v>1000000</v>
      </c>
      <c r="F26" s="2"/>
      <c r="G26" s="2" t="s">
        <v>776</v>
      </c>
      <c r="H26" s="2"/>
    </row>
    <row r="27" spans="1:8" s="1" customFormat="1" x14ac:dyDescent="0.2">
      <c r="A27" s="2"/>
      <c r="B27" s="2"/>
      <c r="C27" s="2"/>
      <c r="D27" s="2"/>
      <c r="E27" s="2"/>
      <c r="F27" s="2"/>
      <c r="G27" s="2"/>
      <c r="H27" s="2"/>
    </row>
    <row r="28" spans="1:8" s="1" customFormat="1" x14ac:dyDescent="0.2">
      <c r="A28" s="2"/>
      <c r="B28" s="2" t="s">
        <v>777</v>
      </c>
      <c r="C28" s="2"/>
      <c r="D28" s="2"/>
      <c r="E28" s="2"/>
      <c r="F28" s="2"/>
      <c r="G28" s="2"/>
      <c r="H28" s="2"/>
    </row>
    <row r="29" spans="1:8" s="1" customFormat="1" x14ac:dyDescent="0.2">
      <c r="A29" s="2"/>
      <c r="B29" s="2" t="s">
        <v>778</v>
      </c>
      <c r="C29" s="2"/>
      <c r="D29" s="2"/>
      <c r="E29" s="2"/>
      <c r="F29" s="2"/>
      <c r="G29" s="2"/>
      <c r="H29" s="2"/>
    </row>
    <row r="30" spans="1:8" s="1" customFormat="1" x14ac:dyDescent="0.2">
      <c r="A30" s="2"/>
      <c r="B30" s="2"/>
      <c r="C30" s="2"/>
      <c r="D30" s="2"/>
      <c r="E30" s="2"/>
      <c r="F30" s="2"/>
      <c r="G30" s="2"/>
      <c r="H30" s="2"/>
    </row>
    <row r="31" spans="1:8" s="1" customFormat="1" x14ac:dyDescent="0.2">
      <c r="A31" s="2"/>
      <c r="B31" s="2" t="s">
        <v>779</v>
      </c>
      <c r="C31" s="2"/>
      <c r="D31" s="2"/>
      <c r="E31" s="2"/>
      <c r="F31" s="2"/>
      <c r="G31" s="2"/>
      <c r="H31" s="2"/>
    </row>
    <row r="32" spans="1:8" s="1" customFormat="1" x14ac:dyDescent="0.2">
      <c r="A32" s="2"/>
      <c r="B32" s="2" t="s">
        <v>780</v>
      </c>
      <c r="C32" s="2"/>
      <c r="D32" s="2"/>
      <c r="E32" s="2"/>
      <c r="F32" s="2"/>
      <c r="G32" s="2"/>
      <c r="H32" s="2"/>
    </row>
    <row r="33" spans="1:8" s="1" customFormat="1" x14ac:dyDescent="0.2">
      <c r="A33" s="2"/>
      <c r="B33" s="2"/>
      <c r="C33" s="2"/>
      <c r="D33" s="2"/>
      <c r="E33" s="2"/>
      <c r="F33" s="2"/>
      <c r="G33" s="2"/>
      <c r="H33" s="2"/>
    </row>
    <row r="34" spans="1:8" s="1" customFormat="1" x14ac:dyDescent="0.2">
      <c r="A34" s="70" t="s">
        <v>781</v>
      </c>
      <c r="B34" s="70"/>
      <c r="C34" s="70"/>
      <c r="D34" s="70"/>
      <c r="E34" s="70"/>
      <c r="F34" s="70"/>
      <c r="G34" s="70"/>
      <c r="H34" s="70"/>
    </row>
    <row r="35" spans="1:8" s="1" customFormat="1" x14ac:dyDescent="0.2">
      <c r="A35" s="2"/>
      <c r="B35" s="2"/>
      <c r="C35" s="2"/>
      <c r="D35" s="2"/>
      <c r="E35" s="2"/>
      <c r="F35" s="2"/>
      <c r="G35" s="2"/>
      <c r="H35" s="2"/>
    </row>
    <row r="36" spans="1:8" s="1" customFormat="1" x14ac:dyDescent="0.2">
      <c r="A36" s="1" t="s">
        <v>782</v>
      </c>
    </row>
    <row r="37" spans="1:8" s="1" customFormat="1" x14ac:dyDescent="0.2">
      <c r="B37" s="1" t="s">
        <v>783</v>
      </c>
    </row>
    <row r="38" spans="1:8" s="1" customFormat="1" x14ac:dyDescent="0.2">
      <c r="B38" s="1" t="s">
        <v>784</v>
      </c>
    </row>
    <row r="39" spans="1:8" s="1" customFormat="1" x14ac:dyDescent="0.2">
      <c r="B39" s="1" t="s">
        <v>785</v>
      </c>
    </row>
    <row r="40" spans="1:8" s="1" customFormat="1" x14ac:dyDescent="0.2">
      <c r="B40" s="1" t="s">
        <v>786</v>
      </c>
    </row>
    <row r="41" spans="1:8" s="1" customFormat="1" x14ac:dyDescent="0.2"/>
    <row r="42" spans="1:8" s="1" customFormat="1" x14ac:dyDescent="0.2">
      <c r="A42" s="2" t="s">
        <v>787</v>
      </c>
    </row>
    <row r="43" spans="1:8" s="1" customFormat="1" x14ac:dyDescent="0.2">
      <c r="A43" s="1" t="s">
        <v>788</v>
      </c>
      <c r="B43"/>
    </row>
    <row r="44" spans="1:8" s="1" customFormat="1" x14ac:dyDescent="0.2">
      <c r="A44" s="1" t="s">
        <v>789</v>
      </c>
    </row>
    <row r="45" spans="1:8" s="1" customFormat="1" x14ac:dyDescent="0.2">
      <c r="A45" s="1" t="s">
        <v>790</v>
      </c>
    </row>
    <row r="46" spans="1:8" s="1" customFormat="1" x14ac:dyDescent="0.2">
      <c r="A46" s="1" t="s">
        <v>791</v>
      </c>
    </row>
    <row r="47" spans="1:8" s="1" customFormat="1" x14ac:dyDescent="0.2">
      <c r="A47" s="1" t="s">
        <v>792</v>
      </c>
    </row>
    <row r="48" spans="1:8" s="1" customFormat="1" x14ac:dyDescent="0.2">
      <c r="A48" s="1" t="s">
        <v>793</v>
      </c>
    </row>
    <row r="49" spans="1:9" s="1" customFormat="1" x14ac:dyDescent="0.2">
      <c r="A49" s="1" t="s">
        <v>794</v>
      </c>
    </row>
    <row r="50" spans="1:9" s="1" customFormat="1" x14ac:dyDescent="0.2">
      <c r="A50" s="104" t="s">
        <v>795</v>
      </c>
    </row>
    <row r="51" spans="1:9" s="1" customFormat="1" x14ac:dyDescent="0.2">
      <c r="A51" s="1" t="s">
        <v>796</v>
      </c>
    </row>
    <row r="52" spans="1:9" s="1" customFormat="1" x14ac:dyDescent="0.2">
      <c r="A52" s="1" t="s">
        <v>797</v>
      </c>
    </row>
    <row r="53" spans="1:9" s="1" customFormat="1" x14ac:dyDescent="0.2"/>
    <row r="54" spans="1:9" s="1" customFormat="1" x14ac:dyDescent="0.2">
      <c r="A54" s="94" t="s">
        <v>656</v>
      </c>
      <c r="B54" s="94" t="s">
        <v>798</v>
      </c>
      <c r="D54" s="19" t="s">
        <v>152</v>
      </c>
      <c r="E54" s="1" t="s">
        <v>799</v>
      </c>
    </row>
    <row r="55" spans="1:9" s="1" customFormat="1" x14ac:dyDescent="0.2">
      <c r="A55" s="35">
        <v>43465</v>
      </c>
      <c r="B55" s="23">
        <v>70000</v>
      </c>
      <c r="E55" s="1" t="s">
        <v>800</v>
      </c>
    </row>
    <row r="56" spans="1:9" s="1" customFormat="1" x14ac:dyDescent="0.2">
      <c r="A56" s="35">
        <v>44196</v>
      </c>
      <c r="B56" s="23">
        <v>30000</v>
      </c>
      <c r="E56" s="1" t="s">
        <v>801</v>
      </c>
    </row>
    <row r="57" spans="1:9" s="1" customFormat="1" x14ac:dyDescent="0.2">
      <c r="A57" s="35">
        <v>44926</v>
      </c>
      <c r="B57" s="23">
        <v>80000</v>
      </c>
      <c r="E57" s="1" t="s">
        <v>802</v>
      </c>
    </row>
    <row r="58" spans="1:9" s="1" customFormat="1" x14ac:dyDescent="0.2">
      <c r="A58" s="35">
        <v>45657</v>
      </c>
      <c r="B58" s="23">
        <v>35000</v>
      </c>
    </row>
    <row r="59" spans="1:9" s="1" customFormat="1" x14ac:dyDescent="0.2"/>
    <row r="60" spans="1:9" s="1" customFormat="1" x14ac:dyDescent="0.2">
      <c r="A60" s="1" t="s">
        <v>803</v>
      </c>
    </row>
    <row r="61" spans="1:9" s="1" customFormat="1" x14ac:dyDescent="0.2"/>
    <row r="62" spans="1:9" s="1" customFormat="1" x14ac:dyDescent="0.2">
      <c r="A62" s="2" t="s">
        <v>829</v>
      </c>
    </row>
    <row r="63" spans="1:9" s="1" customFormat="1" x14ac:dyDescent="0.2"/>
    <row r="64" spans="1:9" s="1" customFormat="1" x14ac:dyDescent="0.2">
      <c r="A64" s="1" t="s">
        <v>712</v>
      </c>
      <c r="B64" s="23">
        <v>50000</v>
      </c>
      <c r="C64" s="1" t="s">
        <v>830</v>
      </c>
      <c r="D64" s="1" t="s">
        <v>831</v>
      </c>
      <c r="E64" s="1" t="s">
        <v>832</v>
      </c>
      <c r="F64" s="1">
        <v>20</v>
      </c>
      <c r="G64" s="1" t="s">
        <v>833</v>
      </c>
      <c r="H64" s="1" t="s">
        <v>834</v>
      </c>
      <c r="I64" s="1" t="s">
        <v>835</v>
      </c>
    </row>
    <row r="65" spans="1:16" s="1" customFormat="1" x14ac:dyDescent="0.2">
      <c r="L65" s="23"/>
      <c r="M65" s="23"/>
    </row>
    <row r="66" spans="1:16" s="1" customFormat="1" x14ac:dyDescent="0.2">
      <c r="C66" s="108"/>
      <c r="D66" s="111" t="s">
        <v>658</v>
      </c>
      <c r="E66" s="108" t="s">
        <v>804</v>
      </c>
      <c r="F66" s="108"/>
      <c r="G66" s="47" t="s">
        <v>658</v>
      </c>
      <c r="H66" s="108" t="s">
        <v>804</v>
      </c>
      <c r="I66" s="111" t="s">
        <v>805</v>
      </c>
      <c r="J66" s="47" t="s">
        <v>658</v>
      </c>
      <c r="K66" s="107" t="s">
        <v>804</v>
      </c>
      <c r="L66" s="111" t="s">
        <v>805</v>
      </c>
      <c r="M66" s="111" t="s">
        <v>658</v>
      </c>
      <c r="N66" s="108" t="s">
        <v>804</v>
      </c>
      <c r="O66" s="111" t="s">
        <v>299</v>
      </c>
      <c r="P66" s="108" t="s">
        <v>806</v>
      </c>
    </row>
    <row r="67" spans="1:16" s="1" customFormat="1" x14ac:dyDescent="0.2">
      <c r="C67" s="109">
        <v>43100</v>
      </c>
      <c r="D67" s="112">
        <v>43465</v>
      </c>
      <c r="E67" s="109">
        <v>43465</v>
      </c>
      <c r="F67" s="109">
        <v>43830</v>
      </c>
      <c r="G67" s="48">
        <v>44196</v>
      </c>
      <c r="H67" s="109">
        <v>44196</v>
      </c>
      <c r="I67" s="112">
        <v>44561</v>
      </c>
      <c r="J67" s="112">
        <v>44926</v>
      </c>
      <c r="K67" s="109">
        <v>44926</v>
      </c>
      <c r="L67" s="112">
        <v>45291</v>
      </c>
      <c r="M67" s="112">
        <v>45657</v>
      </c>
      <c r="N67" s="109">
        <v>45657</v>
      </c>
      <c r="O67" s="112">
        <v>45809</v>
      </c>
      <c r="P67" s="109">
        <v>46022</v>
      </c>
    </row>
    <row r="68" spans="1:16" s="1" customFormat="1" x14ac:dyDescent="0.2">
      <c r="A68" s="1" t="s">
        <v>807</v>
      </c>
      <c r="C68" s="110">
        <v>50000</v>
      </c>
      <c r="D68" s="110">
        <f>C68</f>
        <v>50000</v>
      </c>
      <c r="E68" s="110">
        <f>E71</f>
        <v>70000</v>
      </c>
      <c r="F68" s="110">
        <f>E68</f>
        <v>70000</v>
      </c>
      <c r="G68" s="110">
        <f>F68</f>
        <v>70000</v>
      </c>
      <c r="H68" s="110">
        <f>H71+H70</f>
        <v>40000</v>
      </c>
      <c r="I68" s="110">
        <f>H68</f>
        <v>40000</v>
      </c>
      <c r="J68" s="110">
        <f>I68</f>
        <v>40000</v>
      </c>
      <c r="K68" s="110">
        <f>K71</f>
        <v>80000</v>
      </c>
      <c r="L68" s="110">
        <f>K68</f>
        <v>80000</v>
      </c>
      <c r="M68" s="110">
        <f>L68</f>
        <v>80000</v>
      </c>
      <c r="N68" s="110">
        <f>N71</f>
        <v>35000</v>
      </c>
      <c r="O68" s="110">
        <f>N68</f>
        <v>35000</v>
      </c>
      <c r="P68" s="111">
        <v>0</v>
      </c>
    </row>
    <row r="69" spans="1:16" s="1" customFormat="1" x14ac:dyDescent="0.2">
      <c r="A69" s="1" t="s">
        <v>96</v>
      </c>
      <c r="C69" s="110">
        <f>C73</f>
        <v>2500</v>
      </c>
      <c r="D69" s="110">
        <f>C69+D73</f>
        <v>5000</v>
      </c>
      <c r="E69" s="111">
        <v>0</v>
      </c>
      <c r="F69" s="110">
        <f>F73</f>
        <v>3888.8888888888887</v>
      </c>
      <c r="G69" s="110">
        <f>F69+G73</f>
        <v>7777.7777777777774</v>
      </c>
      <c r="H69" s="111">
        <v>0</v>
      </c>
      <c r="I69" s="110">
        <f>I73+H70/16</f>
        <v>2500</v>
      </c>
      <c r="J69" s="110">
        <f>I69+J73+H70/16</f>
        <v>5000</v>
      </c>
      <c r="K69" s="111">
        <v>0</v>
      </c>
      <c r="L69" s="110">
        <f>L73</f>
        <v>5714.2857142857147</v>
      </c>
      <c r="M69" s="110">
        <f>L69+M73</f>
        <v>11428.571428571429</v>
      </c>
      <c r="N69" s="111">
        <v>0</v>
      </c>
      <c r="O69" s="110">
        <f>O73</f>
        <v>1215.2777777777778</v>
      </c>
      <c r="P69" s="111">
        <v>0</v>
      </c>
    </row>
    <row r="70" spans="1:16" s="1" customFormat="1" x14ac:dyDescent="0.2">
      <c r="A70" s="1" t="s">
        <v>201</v>
      </c>
      <c r="C70" s="111"/>
      <c r="D70" s="106"/>
      <c r="E70" s="106"/>
      <c r="F70" s="111"/>
      <c r="G70" s="106"/>
      <c r="H70" s="110">
        <f>H75</f>
        <v>10000</v>
      </c>
      <c r="I70" s="110">
        <f>H70*15/16</f>
        <v>9375</v>
      </c>
      <c r="J70" s="110">
        <f>I70-H70/16</f>
        <v>8750</v>
      </c>
      <c r="K70" s="111">
        <v>0</v>
      </c>
      <c r="L70" s="47"/>
      <c r="M70" s="47"/>
      <c r="N70" s="105"/>
      <c r="O70" s="47"/>
      <c r="P70" s="111">
        <v>0</v>
      </c>
    </row>
    <row r="71" spans="1:16" s="1" customFormat="1" x14ac:dyDescent="0.2">
      <c r="A71" s="1" t="s">
        <v>99</v>
      </c>
      <c r="C71" s="110">
        <f>C68-C69</f>
        <v>47500</v>
      </c>
      <c r="D71" s="110">
        <f>D68-D69</f>
        <v>45000</v>
      </c>
      <c r="E71" s="110">
        <f>B55</f>
        <v>70000</v>
      </c>
      <c r="F71" s="110">
        <f>F68-F69</f>
        <v>66111.111111111109</v>
      </c>
      <c r="G71" s="110">
        <f>G68-G69</f>
        <v>62222.222222222219</v>
      </c>
      <c r="H71" s="110">
        <f>B56</f>
        <v>30000</v>
      </c>
      <c r="I71" s="110">
        <f>I68-I69-I70</f>
        <v>28125</v>
      </c>
      <c r="J71" s="110">
        <f>J68-J69-J70</f>
        <v>26250</v>
      </c>
      <c r="K71" s="110">
        <f>B57</f>
        <v>80000</v>
      </c>
      <c r="L71" s="110">
        <f>L68-L69</f>
        <v>74285.71428571429</v>
      </c>
      <c r="M71" s="110">
        <f>M68-M69</f>
        <v>68571.428571428565</v>
      </c>
      <c r="N71" s="110">
        <v>35000</v>
      </c>
      <c r="O71" s="110">
        <f>O68-O69</f>
        <v>33784.722222222219</v>
      </c>
      <c r="P71" s="111">
        <v>0</v>
      </c>
    </row>
    <row r="72" spans="1:16" s="1" customFormat="1" x14ac:dyDescent="0.2">
      <c r="C72" s="106"/>
      <c r="D72" s="106"/>
      <c r="E72" s="106"/>
      <c r="F72" s="106"/>
      <c r="G72" s="106"/>
      <c r="H72" s="106"/>
      <c r="I72" s="105"/>
      <c r="J72" s="105"/>
      <c r="K72" s="105"/>
      <c r="L72" s="105"/>
      <c r="M72" s="105"/>
      <c r="N72" s="105"/>
      <c r="O72" s="105"/>
      <c r="P72" s="105"/>
    </row>
    <row r="73" spans="1:16" s="1" customFormat="1" x14ac:dyDescent="0.2">
      <c r="A73" s="1" t="s">
        <v>808</v>
      </c>
      <c r="C73" s="110">
        <f>C68/20</f>
        <v>2500</v>
      </c>
      <c r="D73" s="110">
        <f>C73</f>
        <v>2500</v>
      </c>
      <c r="E73" s="110">
        <f>D73</f>
        <v>2500</v>
      </c>
      <c r="F73" s="110">
        <f>E71/18</f>
        <v>3888.8888888888887</v>
      </c>
      <c r="G73" s="110">
        <f>F73</f>
        <v>3888.8888888888887</v>
      </c>
      <c r="H73" s="110">
        <f>G73</f>
        <v>3888.8888888888887</v>
      </c>
      <c r="I73" s="110">
        <f>H71/16</f>
        <v>1875</v>
      </c>
      <c r="J73" s="110">
        <f>I73</f>
        <v>1875</v>
      </c>
      <c r="K73" s="110">
        <f>J73</f>
        <v>1875</v>
      </c>
      <c r="L73" s="110">
        <f>K71/14</f>
        <v>5714.2857142857147</v>
      </c>
      <c r="M73" s="110">
        <f>L73</f>
        <v>5714.2857142857147</v>
      </c>
      <c r="N73" s="110">
        <f>M73</f>
        <v>5714.2857142857147</v>
      </c>
      <c r="O73" s="110">
        <f>N71/12*(5/12)</f>
        <v>1215.2777777777778</v>
      </c>
      <c r="P73" s="110">
        <f>O73</f>
        <v>1215.2777777777778</v>
      </c>
    </row>
    <row r="74" spans="1:16" s="1" customFormat="1" x14ac:dyDescent="0.2">
      <c r="C74" s="106"/>
      <c r="D74" s="106"/>
      <c r="E74" s="106"/>
      <c r="F74" s="111"/>
      <c r="G74" s="106"/>
      <c r="H74" s="106"/>
      <c r="I74" s="105"/>
      <c r="J74" s="105"/>
      <c r="K74" s="105"/>
      <c r="L74" s="105"/>
      <c r="M74" s="105"/>
      <c r="N74" s="105"/>
      <c r="O74" s="47"/>
      <c r="P74" s="105"/>
    </row>
    <row r="75" spans="1:16" s="1" customFormat="1" x14ac:dyDescent="0.2">
      <c r="A75" s="1" t="s">
        <v>136</v>
      </c>
      <c r="C75" s="106"/>
      <c r="D75" s="106"/>
      <c r="E75" s="106"/>
      <c r="F75" s="111"/>
      <c r="G75" s="106"/>
      <c r="H75" s="110">
        <f>G71-H71-H79</f>
        <v>10000</v>
      </c>
      <c r="I75" s="47"/>
      <c r="J75" s="47"/>
      <c r="K75" s="105"/>
      <c r="L75" s="105"/>
      <c r="M75" s="105"/>
      <c r="N75" s="105"/>
      <c r="O75" s="47"/>
      <c r="P75" s="47"/>
    </row>
    <row r="76" spans="1:16" s="1" customFormat="1" x14ac:dyDescent="0.2">
      <c r="A76" s="1" t="s">
        <v>809</v>
      </c>
      <c r="C76" s="106"/>
      <c r="D76" s="106"/>
      <c r="E76" s="106"/>
      <c r="F76" s="111"/>
      <c r="G76" s="106"/>
      <c r="H76" s="106"/>
      <c r="I76" s="105"/>
      <c r="J76" s="47"/>
      <c r="K76" s="110">
        <f>J70</f>
        <v>8750</v>
      </c>
      <c r="L76" s="105"/>
      <c r="M76" s="105"/>
      <c r="N76" s="105"/>
      <c r="O76" s="47"/>
      <c r="P76" s="47"/>
    </row>
    <row r="77" spans="1:16" s="1" customFormat="1" x14ac:dyDescent="0.2">
      <c r="C77" s="106"/>
      <c r="D77" s="106"/>
      <c r="E77" s="106"/>
      <c r="F77" s="111"/>
      <c r="G77" s="106"/>
      <c r="H77" s="106"/>
      <c r="I77" s="47"/>
      <c r="J77" s="47"/>
      <c r="K77" s="105"/>
      <c r="L77" s="105"/>
      <c r="M77" s="105"/>
      <c r="N77" s="105"/>
      <c r="O77" s="47"/>
      <c r="P77" s="47"/>
    </row>
    <row r="78" spans="1:16" s="1" customFormat="1" x14ac:dyDescent="0.2">
      <c r="A78" s="1" t="s">
        <v>661</v>
      </c>
      <c r="C78" s="106"/>
      <c r="D78" s="106"/>
      <c r="E78" s="110">
        <f>E71-D71</f>
        <v>25000</v>
      </c>
      <c r="F78" s="111"/>
      <c r="G78" s="106"/>
      <c r="H78" s="106"/>
      <c r="I78" s="47"/>
      <c r="J78" s="47"/>
      <c r="K78" s="110">
        <f>K71-J71-K76</f>
        <v>45000</v>
      </c>
      <c r="L78" s="105"/>
      <c r="M78" s="105"/>
      <c r="N78" s="105"/>
      <c r="O78" s="47"/>
      <c r="P78" s="47"/>
    </row>
    <row r="79" spans="1:16" s="1" customFormat="1" x14ac:dyDescent="0.2">
      <c r="A79" s="1" t="s">
        <v>720</v>
      </c>
      <c r="C79" s="106"/>
      <c r="D79" s="106"/>
      <c r="E79" s="106"/>
      <c r="F79" s="111"/>
      <c r="G79" s="106"/>
      <c r="H79" s="110">
        <f>G81</f>
        <v>22222.222222222219</v>
      </c>
      <c r="I79" s="47"/>
      <c r="J79" s="47"/>
      <c r="K79" s="47"/>
      <c r="L79" s="105"/>
      <c r="M79" s="105"/>
      <c r="N79" s="110">
        <f>M71-N71</f>
        <v>33571.428571428565</v>
      </c>
      <c r="O79" s="47"/>
      <c r="P79" s="47"/>
    </row>
    <row r="80" spans="1:16" s="1" customFormat="1" x14ac:dyDescent="0.2">
      <c r="C80" s="106"/>
      <c r="D80" s="106"/>
      <c r="E80" s="106"/>
      <c r="F80" s="111"/>
      <c r="G80" s="106"/>
      <c r="H80" s="106"/>
      <c r="I80" s="47"/>
      <c r="J80" s="47"/>
      <c r="K80" s="47"/>
      <c r="L80" s="105"/>
      <c r="M80" s="105"/>
      <c r="N80" s="105"/>
      <c r="O80" s="47"/>
      <c r="P80" s="105"/>
    </row>
    <row r="81" spans="1:16" s="1" customFormat="1" x14ac:dyDescent="0.2">
      <c r="A81" s="1" t="s">
        <v>721</v>
      </c>
      <c r="C81" s="106"/>
      <c r="D81" s="106"/>
      <c r="E81" s="110">
        <f>E78</f>
        <v>25000</v>
      </c>
      <c r="F81" s="110">
        <f>E81-F83</f>
        <v>23611.111111111109</v>
      </c>
      <c r="G81" s="110">
        <f>F81-G83</f>
        <v>22222.222222222219</v>
      </c>
      <c r="H81" s="111">
        <v>0</v>
      </c>
      <c r="I81" s="47"/>
      <c r="J81" s="47"/>
      <c r="K81" s="110">
        <f>K78</f>
        <v>45000</v>
      </c>
      <c r="L81" s="110">
        <f>K81-L83</f>
        <v>41785.714285714283</v>
      </c>
      <c r="M81" s="110">
        <f>L81-M83</f>
        <v>38571.428571428565</v>
      </c>
      <c r="N81" s="110">
        <f>M81-N79</f>
        <v>5000</v>
      </c>
      <c r="O81" s="110">
        <f>N81-O83</f>
        <v>4826.3888888888887</v>
      </c>
      <c r="P81" s="111">
        <v>0</v>
      </c>
    </row>
    <row r="82" spans="1:16" s="1" customFormat="1" x14ac:dyDescent="0.2">
      <c r="C82" s="106"/>
      <c r="D82" s="106"/>
      <c r="E82" s="106"/>
      <c r="F82" s="106"/>
      <c r="G82" s="106"/>
      <c r="H82" s="106"/>
      <c r="I82" s="47"/>
      <c r="J82" s="47"/>
      <c r="K82" s="105"/>
      <c r="L82" s="47"/>
      <c r="M82" s="47"/>
      <c r="N82" s="105"/>
      <c r="O82" s="105"/>
      <c r="P82" s="105"/>
    </row>
    <row r="83" spans="1:16" s="1" customFormat="1" x14ac:dyDescent="0.2">
      <c r="A83" s="1" t="s">
        <v>810</v>
      </c>
      <c r="C83" s="106"/>
      <c r="D83" s="106"/>
      <c r="E83" s="106"/>
      <c r="F83" s="110">
        <f>E81/18</f>
        <v>1388.8888888888889</v>
      </c>
      <c r="G83" s="110">
        <f>F83</f>
        <v>1388.8888888888889</v>
      </c>
      <c r="H83" s="110">
        <f>G83</f>
        <v>1388.8888888888889</v>
      </c>
      <c r="I83" s="47"/>
      <c r="J83" s="47"/>
      <c r="K83" s="105"/>
      <c r="L83" s="110">
        <f>K81/14</f>
        <v>3214.2857142857142</v>
      </c>
      <c r="M83" s="110">
        <f>L83</f>
        <v>3214.2857142857142</v>
      </c>
      <c r="N83" s="110">
        <f>M83</f>
        <v>3214.2857142857142</v>
      </c>
      <c r="O83" s="110">
        <f>N81/12*(5/12)</f>
        <v>173.61111111111111</v>
      </c>
      <c r="P83" s="110">
        <f>O83+O81</f>
        <v>5000</v>
      </c>
    </row>
    <row r="84" spans="1:16" s="1" customFormat="1" x14ac:dyDescent="0.2">
      <c r="C84" s="105"/>
      <c r="D84" s="105"/>
      <c r="E84" s="105"/>
      <c r="F84" s="105"/>
      <c r="G84" s="105"/>
      <c r="H84" s="105"/>
      <c r="I84" s="105"/>
      <c r="J84" s="47"/>
      <c r="K84" s="105"/>
      <c r="L84" s="105"/>
      <c r="M84" s="105"/>
      <c r="N84" s="105"/>
      <c r="O84" s="105"/>
      <c r="P84" s="105"/>
    </row>
    <row r="85" spans="1:16" s="47" customFormat="1" x14ac:dyDescent="0.2">
      <c r="A85" s="47" t="s">
        <v>733</v>
      </c>
      <c r="P85" s="110">
        <f>O71-33000</f>
        <v>784.72222222221899</v>
      </c>
    </row>
    <row r="86" spans="1:16" s="1" customFormat="1" x14ac:dyDescent="0.2">
      <c r="J86" s="47"/>
    </row>
    <row r="87" spans="1:16" s="1" customFormat="1" x14ac:dyDescent="0.2">
      <c r="A87" s="70" t="s">
        <v>811</v>
      </c>
      <c r="B87" s="70"/>
      <c r="C87" s="70"/>
      <c r="D87" s="70"/>
      <c r="E87" s="70"/>
      <c r="F87" s="70"/>
      <c r="G87" s="70"/>
      <c r="H87" s="70"/>
    </row>
    <row r="88" spans="1:16" s="1" customFormat="1" x14ac:dyDescent="0.2"/>
    <row r="89" spans="1:16" s="1" customFormat="1" x14ac:dyDescent="0.2">
      <c r="A89" s="1" t="s">
        <v>812</v>
      </c>
      <c r="F89"/>
    </row>
    <row r="90" spans="1:16" s="1" customFormat="1" x14ac:dyDescent="0.2">
      <c r="A90" s="1" t="s">
        <v>813</v>
      </c>
      <c r="F90"/>
    </row>
    <row r="91" spans="1:16" s="1" customFormat="1" x14ac:dyDescent="0.2">
      <c r="A91" s="1" t="s">
        <v>814</v>
      </c>
      <c r="F91"/>
    </row>
    <row r="92" spans="1:16" s="1" customFormat="1" x14ac:dyDescent="0.2">
      <c r="A92" s="1" t="s">
        <v>815</v>
      </c>
      <c r="F92"/>
    </row>
    <row r="93" spans="1:16" s="1" customFormat="1" x14ac:dyDescent="0.2">
      <c r="A93" s="1" t="s">
        <v>816</v>
      </c>
      <c r="F93"/>
    </row>
    <row r="94" spans="1:16" s="1" customFormat="1" x14ac:dyDescent="0.2">
      <c r="A94" s="1" t="s">
        <v>744</v>
      </c>
      <c r="F94"/>
    </row>
    <row r="95" spans="1:16" s="1" customFormat="1" x14ac:dyDescent="0.2">
      <c r="A95" s="1" t="s">
        <v>817</v>
      </c>
      <c r="F95"/>
    </row>
    <row r="96" spans="1:16" s="1" customFormat="1" x14ac:dyDescent="0.2">
      <c r="F96"/>
    </row>
    <row r="97" spans="1:12" s="1" customFormat="1" x14ac:dyDescent="0.2">
      <c r="A97" s="1" t="s">
        <v>818</v>
      </c>
      <c r="F97"/>
    </row>
    <row r="98" spans="1:12" s="1" customFormat="1" x14ac:dyDescent="0.2">
      <c r="A98" s="94"/>
      <c r="B98" s="94" t="s">
        <v>819</v>
      </c>
      <c r="F98"/>
    </row>
    <row r="99" spans="1:12" s="1" customFormat="1" x14ac:dyDescent="0.2">
      <c r="A99" s="35">
        <v>44196</v>
      </c>
      <c r="B99" s="23">
        <v>500000</v>
      </c>
      <c r="F99"/>
    </row>
    <row r="100" spans="1:12" s="1" customFormat="1" x14ac:dyDescent="0.2">
      <c r="A100" s="35">
        <v>44561</v>
      </c>
      <c r="B100" s="23">
        <v>480000</v>
      </c>
      <c r="F100" s="1" t="s">
        <v>820</v>
      </c>
      <c r="J100" s="1" t="s">
        <v>821</v>
      </c>
    </row>
    <row r="101" spans="1:12" s="1" customFormat="1" x14ac:dyDescent="0.2">
      <c r="A101" s="35">
        <v>44926</v>
      </c>
      <c r="B101" s="23">
        <v>320000</v>
      </c>
      <c r="F101" s="319" t="s">
        <v>822</v>
      </c>
      <c r="G101" s="319"/>
      <c r="H101" s="319"/>
      <c r="L101" s="1" t="s">
        <v>823</v>
      </c>
    </row>
    <row r="102" spans="1:12" s="1" customFormat="1" x14ac:dyDescent="0.2">
      <c r="A102" s="35">
        <v>45291</v>
      </c>
      <c r="B102" s="23">
        <v>380000</v>
      </c>
      <c r="F102"/>
    </row>
    <row r="103" spans="1:12" s="1" customFormat="1" x14ac:dyDescent="0.2">
      <c r="F103"/>
    </row>
    <row r="104" spans="1:12" s="1" customFormat="1" x14ac:dyDescent="0.2">
      <c r="A104" s="1" t="s">
        <v>824</v>
      </c>
      <c r="F104"/>
    </row>
    <row r="105" spans="1:12" s="1" customFormat="1" x14ac:dyDescent="0.2">
      <c r="F105"/>
    </row>
    <row r="106" spans="1:12" s="1" customFormat="1" x14ac:dyDescent="0.2">
      <c r="A106" s="1" t="s">
        <v>506</v>
      </c>
      <c r="F106"/>
    </row>
    <row r="107" spans="1:12" s="1" customFormat="1" x14ac:dyDescent="0.2">
      <c r="C107" s="47" t="s">
        <v>658</v>
      </c>
      <c r="D107" s="41" t="s">
        <v>804</v>
      </c>
      <c r="E107" s="1" t="s">
        <v>658</v>
      </c>
      <c r="F107" s="41" t="s">
        <v>804</v>
      </c>
      <c r="G107" s="1" t="s">
        <v>658</v>
      </c>
      <c r="H107" s="41" t="s">
        <v>804</v>
      </c>
      <c r="I107" s="1" t="s">
        <v>658</v>
      </c>
      <c r="J107" s="41" t="s">
        <v>804</v>
      </c>
      <c r="K107" s="1" t="s">
        <v>299</v>
      </c>
      <c r="L107" s="41" t="s">
        <v>806</v>
      </c>
    </row>
    <row r="108" spans="1:12" s="1" customFormat="1" x14ac:dyDescent="0.2">
      <c r="C108" s="48">
        <v>44196</v>
      </c>
      <c r="D108" s="103">
        <v>44196</v>
      </c>
      <c r="E108" s="49">
        <v>44561</v>
      </c>
      <c r="F108" s="103">
        <v>44561</v>
      </c>
      <c r="G108" s="49">
        <v>44926</v>
      </c>
      <c r="H108" s="103">
        <v>44926</v>
      </c>
      <c r="I108" s="49">
        <v>45291</v>
      </c>
      <c r="J108" s="103">
        <v>45291</v>
      </c>
      <c r="K108" s="49">
        <v>45383</v>
      </c>
      <c r="L108" s="103">
        <v>45657</v>
      </c>
    </row>
    <row r="109" spans="1:12" s="1" customFormat="1" x14ac:dyDescent="0.2">
      <c r="A109" s="1" t="s">
        <v>825</v>
      </c>
      <c r="C109" s="114">
        <v>500000</v>
      </c>
      <c r="D109" s="114">
        <f>D112-D110</f>
        <v>500000</v>
      </c>
      <c r="E109" s="114">
        <f>D109</f>
        <v>500000</v>
      </c>
      <c r="F109" s="114">
        <f>F112</f>
        <v>480000</v>
      </c>
      <c r="G109" s="114">
        <f>F109</f>
        <v>480000</v>
      </c>
      <c r="H109" s="114">
        <f>H112+H111</f>
        <v>350000</v>
      </c>
      <c r="I109" s="114">
        <f>H109</f>
        <v>350000</v>
      </c>
      <c r="J109" s="114">
        <f>J112</f>
        <v>380000</v>
      </c>
      <c r="K109" s="114">
        <f>J109</f>
        <v>380000</v>
      </c>
      <c r="L109" s="114">
        <v>0</v>
      </c>
    </row>
    <row r="110" spans="1:12" s="1" customFormat="1" x14ac:dyDescent="0.2">
      <c r="A110" s="1" t="s">
        <v>96</v>
      </c>
      <c r="C110" s="114">
        <f>C114</f>
        <v>50000</v>
      </c>
      <c r="D110" s="114">
        <v>0</v>
      </c>
      <c r="E110" s="114">
        <f>E114</f>
        <v>55555.555555555555</v>
      </c>
      <c r="F110" s="114">
        <v>0</v>
      </c>
      <c r="G110" s="114">
        <f>G114</f>
        <v>60000</v>
      </c>
      <c r="H110" s="114">
        <v>0</v>
      </c>
      <c r="I110" s="114">
        <f>I114+H111/7</f>
        <v>50000</v>
      </c>
      <c r="J110" s="114">
        <v>0</v>
      </c>
      <c r="K110" s="114">
        <f>K114</f>
        <v>15833.333333333334</v>
      </c>
      <c r="L110" s="114">
        <v>0</v>
      </c>
    </row>
    <row r="111" spans="1:12" s="1" customFormat="1" x14ac:dyDescent="0.2">
      <c r="A111" s="1" t="s">
        <v>201</v>
      </c>
      <c r="C111" s="114"/>
      <c r="D111" s="114"/>
      <c r="E111" s="114"/>
      <c r="F111" s="114"/>
      <c r="G111" s="114"/>
      <c r="H111" s="114">
        <f>H116</f>
        <v>30000</v>
      </c>
      <c r="I111" s="114">
        <f>H111*6/7</f>
        <v>25714.285714285714</v>
      </c>
      <c r="J111" s="114">
        <v>0</v>
      </c>
      <c r="K111" s="114"/>
      <c r="L111" s="114">
        <v>0</v>
      </c>
    </row>
    <row r="112" spans="1:12" s="1" customFormat="1" x14ac:dyDescent="0.2">
      <c r="A112" s="1" t="s">
        <v>99</v>
      </c>
      <c r="C112" s="115">
        <f>C109-C110-C111</f>
        <v>450000</v>
      </c>
      <c r="D112" s="115">
        <f>B99</f>
        <v>500000</v>
      </c>
      <c r="E112" s="115">
        <f>E109-E110</f>
        <v>444444.44444444444</v>
      </c>
      <c r="F112" s="115">
        <v>480000</v>
      </c>
      <c r="G112" s="115">
        <f>G109-G110</f>
        <v>420000</v>
      </c>
      <c r="H112" s="115">
        <v>320000</v>
      </c>
      <c r="I112" s="115">
        <f>I109-I110-I111</f>
        <v>274285.71428571426</v>
      </c>
      <c r="J112" s="115">
        <v>380000</v>
      </c>
      <c r="K112" s="115">
        <f>K109-K110</f>
        <v>364166.66666666669</v>
      </c>
      <c r="L112" s="115">
        <v>0</v>
      </c>
    </row>
    <row r="113" spans="1:12" s="1" customFormat="1" x14ac:dyDescent="0.2">
      <c r="C113" s="114"/>
      <c r="D113" s="114"/>
      <c r="E113" s="114"/>
      <c r="F113" s="114"/>
      <c r="G113" s="114"/>
      <c r="H113" s="114"/>
      <c r="I113" s="113"/>
      <c r="J113" s="114"/>
      <c r="K113" s="113"/>
      <c r="L113" s="113"/>
    </row>
    <row r="114" spans="1:12" s="1" customFormat="1" x14ac:dyDescent="0.2">
      <c r="A114" s="1" t="s">
        <v>100</v>
      </c>
      <c r="C114" s="114">
        <f>500000/10</f>
        <v>50000</v>
      </c>
      <c r="D114" s="114">
        <f>C114</f>
        <v>50000</v>
      </c>
      <c r="E114" s="114">
        <f>D112/9</f>
        <v>55555.555555555555</v>
      </c>
      <c r="F114" s="114">
        <f>E114</f>
        <v>55555.555555555555</v>
      </c>
      <c r="G114" s="114">
        <f>F112/8</f>
        <v>60000</v>
      </c>
      <c r="H114" s="114">
        <f>G114</f>
        <v>60000</v>
      </c>
      <c r="I114" s="114">
        <f>H112/7</f>
        <v>45714.285714285717</v>
      </c>
      <c r="J114" s="114">
        <f>I114</f>
        <v>45714.285714285717</v>
      </c>
      <c r="K114" s="114">
        <f>J112/6*3/12</f>
        <v>15833.333333333334</v>
      </c>
      <c r="L114" s="114">
        <f>K114</f>
        <v>15833.333333333334</v>
      </c>
    </row>
    <row r="115" spans="1:12" s="1" customFormat="1" x14ac:dyDescent="0.2">
      <c r="A115" s="1" t="s">
        <v>809</v>
      </c>
      <c r="C115" s="114"/>
      <c r="D115" s="114"/>
      <c r="E115" s="114"/>
      <c r="F115" s="114"/>
      <c r="G115" s="114"/>
      <c r="H115" s="114"/>
      <c r="I115" s="114"/>
      <c r="J115" s="114">
        <f>I111</f>
        <v>25714.285714285714</v>
      </c>
      <c r="K115" s="114"/>
      <c r="L115" s="114"/>
    </row>
    <row r="116" spans="1:12" s="1" customFormat="1" x14ac:dyDescent="0.2">
      <c r="A116" s="1" t="s">
        <v>136</v>
      </c>
      <c r="C116" s="114"/>
      <c r="D116" s="114"/>
      <c r="E116" s="114"/>
      <c r="F116" s="114"/>
      <c r="G116" s="114"/>
      <c r="H116" s="114">
        <f>G112-H112-H118</f>
        <v>30000</v>
      </c>
      <c r="I116" s="114"/>
      <c r="J116" s="114"/>
      <c r="K116" s="114"/>
      <c r="L116" s="114"/>
    </row>
    <row r="117" spans="1:12" s="1" customFormat="1" x14ac:dyDescent="0.2">
      <c r="A117" s="1" t="s">
        <v>661</v>
      </c>
      <c r="C117" s="114"/>
      <c r="D117" s="114">
        <f>D112-C112</f>
        <v>50000</v>
      </c>
      <c r="E117" s="114"/>
      <c r="F117" s="114">
        <f>F112-E112</f>
        <v>35555.555555555562</v>
      </c>
      <c r="G117" s="114"/>
      <c r="H117" s="114"/>
      <c r="I117" s="114"/>
      <c r="J117" s="114">
        <f>J112-I112-J115</f>
        <v>80000.000000000029</v>
      </c>
      <c r="K117" s="114"/>
      <c r="L117" s="114"/>
    </row>
    <row r="118" spans="1:12" s="1" customFormat="1" x14ac:dyDescent="0.2">
      <c r="A118" s="1" t="s">
        <v>720</v>
      </c>
      <c r="C118" s="114"/>
      <c r="D118" s="114"/>
      <c r="E118" s="114"/>
      <c r="F118" s="114"/>
      <c r="G118" s="114"/>
      <c r="H118" s="114">
        <f>G122</f>
        <v>70000</v>
      </c>
      <c r="I118" s="114"/>
      <c r="J118" s="114"/>
      <c r="K118" s="114"/>
      <c r="L118" s="114"/>
    </row>
    <row r="119" spans="1:12" s="1" customFormat="1" x14ac:dyDescent="0.2">
      <c r="A119" s="1" t="s">
        <v>826</v>
      </c>
      <c r="C119" s="114"/>
      <c r="D119" s="114"/>
      <c r="E119" s="114"/>
      <c r="F119" s="114"/>
      <c r="G119" s="114"/>
      <c r="H119" s="114"/>
      <c r="I119" s="114"/>
      <c r="J119" s="114"/>
      <c r="K119" s="114"/>
      <c r="L119" s="113"/>
    </row>
    <row r="120" spans="1:12" s="1" customFormat="1" x14ac:dyDescent="0.2">
      <c r="A120" s="1" t="s">
        <v>733</v>
      </c>
      <c r="C120" s="114"/>
      <c r="D120" s="114"/>
      <c r="E120" s="114"/>
      <c r="F120" s="114"/>
      <c r="G120" s="114"/>
      <c r="H120" s="114"/>
      <c r="I120" s="114"/>
      <c r="J120" s="114"/>
      <c r="K120" s="114"/>
      <c r="L120" s="114">
        <f>K112-1.1*327000</f>
        <v>4466.6666666666861</v>
      </c>
    </row>
    <row r="121" spans="1:12" s="1" customFormat="1" x14ac:dyDescent="0.2">
      <c r="C121" s="114"/>
      <c r="D121" s="114"/>
      <c r="E121" s="114"/>
      <c r="F121" s="114"/>
      <c r="G121" s="114"/>
      <c r="H121" s="114"/>
      <c r="I121" s="114"/>
      <c r="J121" s="114"/>
      <c r="K121" s="114"/>
      <c r="L121" s="113"/>
    </row>
    <row r="122" spans="1:12" s="1" customFormat="1" x14ac:dyDescent="0.2">
      <c r="A122" s="1" t="s">
        <v>827</v>
      </c>
      <c r="C122" s="114"/>
      <c r="D122" s="114">
        <f>D117</f>
        <v>50000</v>
      </c>
      <c r="E122" s="114">
        <f>D122-E124</f>
        <v>44444.444444444445</v>
      </c>
      <c r="F122" s="114">
        <f>F117+E122</f>
        <v>80000</v>
      </c>
      <c r="G122" s="114">
        <f>F122-G124</f>
        <v>70000</v>
      </c>
      <c r="H122" s="114">
        <f>G122-H118</f>
        <v>0</v>
      </c>
      <c r="I122" s="114"/>
      <c r="J122" s="114">
        <f>J117</f>
        <v>80000.000000000029</v>
      </c>
      <c r="K122" s="114">
        <f>J122-K124</f>
        <v>76666.666666666701</v>
      </c>
      <c r="L122" s="114">
        <v>0</v>
      </c>
    </row>
    <row r="123" spans="1:12" s="1" customFormat="1" x14ac:dyDescent="0.2">
      <c r="C123" s="47"/>
      <c r="D123" s="47"/>
      <c r="E123" s="114"/>
      <c r="F123" s="114"/>
      <c r="G123" s="114"/>
      <c r="H123" s="114"/>
      <c r="I123" s="114"/>
      <c r="J123" s="114"/>
      <c r="K123" s="114"/>
      <c r="L123" s="113"/>
    </row>
    <row r="124" spans="1:12" s="1" customFormat="1" x14ac:dyDescent="0.2">
      <c r="A124" s="1" t="s">
        <v>828</v>
      </c>
      <c r="C124" s="47"/>
      <c r="D124" s="47"/>
      <c r="E124" s="114">
        <f>D122/9</f>
        <v>5555.5555555555557</v>
      </c>
      <c r="F124" s="114">
        <f>E124</f>
        <v>5555.5555555555557</v>
      </c>
      <c r="G124" s="114">
        <f>F122/8</f>
        <v>10000</v>
      </c>
      <c r="H124" s="114">
        <f>G124</f>
        <v>10000</v>
      </c>
      <c r="I124" s="114"/>
      <c r="J124" s="114"/>
      <c r="K124" s="114">
        <f>J122/6*3/12</f>
        <v>3333.3333333333344</v>
      </c>
      <c r="L124" s="114">
        <f>K122+K124</f>
        <v>80000.000000000029</v>
      </c>
    </row>
    <row r="125" spans="1:12" s="1" customFormat="1" x14ac:dyDescent="0.2">
      <c r="F125" s="116"/>
      <c r="G125" s="47"/>
      <c r="H125" s="47"/>
      <c r="J125" s="47"/>
    </row>
    <row r="126" spans="1:12" s="1" customFormat="1" x14ac:dyDescent="0.2">
      <c r="F126"/>
      <c r="H126" s="47"/>
    </row>
    <row r="127" spans="1:12" s="1" customFormat="1" x14ac:dyDescent="0.2">
      <c r="F127"/>
    </row>
    <row r="128" spans="1:12" s="1" customFormat="1" x14ac:dyDescent="0.2">
      <c r="F128"/>
    </row>
    <row r="129" spans="6:6" s="1" customFormat="1" x14ac:dyDescent="0.2">
      <c r="F129"/>
    </row>
    <row r="130" spans="6:6" s="1" customFormat="1" x14ac:dyDescent="0.2">
      <c r="F130"/>
    </row>
    <row r="131" spans="6:6" s="1" customFormat="1" x14ac:dyDescent="0.2">
      <c r="F131"/>
    </row>
    <row r="132" spans="6:6" s="1" customFormat="1" x14ac:dyDescent="0.2">
      <c r="F132"/>
    </row>
    <row r="133" spans="6:6" s="1" customFormat="1" x14ac:dyDescent="0.2">
      <c r="F133"/>
    </row>
    <row r="134" spans="6:6" s="1" customFormat="1" x14ac:dyDescent="0.2">
      <c r="F134"/>
    </row>
    <row r="135" spans="6:6" s="1" customFormat="1" x14ac:dyDescent="0.2">
      <c r="F135"/>
    </row>
    <row r="136" spans="6:6" s="1" customFormat="1" x14ac:dyDescent="0.2">
      <c r="F136"/>
    </row>
    <row r="137" spans="6:6" s="1" customFormat="1" x14ac:dyDescent="0.2">
      <c r="F137"/>
    </row>
    <row r="138" spans="6:6" s="1" customFormat="1" x14ac:dyDescent="0.2">
      <c r="F138"/>
    </row>
    <row r="139" spans="6:6" s="1" customFormat="1" x14ac:dyDescent="0.2">
      <c r="F139"/>
    </row>
    <row r="140" spans="6:6" s="1" customFormat="1" x14ac:dyDescent="0.2">
      <c r="F140"/>
    </row>
    <row r="141" spans="6:6" s="1" customFormat="1" x14ac:dyDescent="0.2">
      <c r="F141"/>
    </row>
    <row r="142" spans="6:6" s="1" customFormat="1" x14ac:dyDescent="0.2">
      <c r="F142"/>
    </row>
    <row r="143" spans="6:6" s="1" customFormat="1" x14ac:dyDescent="0.2">
      <c r="F143"/>
    </row>
    <row r="144" spans="6:6" s="1" customFormat="1" x14ac:dyDescent="0.2">
      <c r="F144"/>
    </row>
    <row r="145" spans="6:6" s="1" customFormat="1" x14ac:dyDescent="0.2">
      <c r="F145"/>
    </row>
    <row r="146" spans="6:6" s="1" customFormat="1" x14ac:dyDescent="0.2">
      <c r="F146"/>
    </row>
    <row r="147" spans="6:6" s="1" customFormat="1" x14ac:dyDescent="0.2">
      <c r="F147"/>
    </row>
    <row r="148" spans="6:6" s="1" customFormat="1" x14ac:dyDescent="0.2">
      <c r="F148"/>
    </row>
    <row r="149" spans="6:6" s="1" customFormat="1" x14ac:dyDescent="0.2">
      <c r="F149"/>
    </row>
  </sheetData>
  <mergeCells count="1">
    <mergeCell ref="F101:H101"/>
  </mergeCell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0AE231-125C-8146-A915-7778128C65F6}">
  <dimension ref="A1:Q200"/>
  <sheetViews>
    <sheetView rightToLeft="1" topLeftCell="A155" zoomScale="200" zoomScaleNormal="200" workbookViewId="0">
      <selection activeCell="A172" sqref="A172:XFD172"/>
    </sheetView>
  </sheetViews>
  <sheetFormatPr baseColWidth="10" defaultRowHeight="16" x14ac:dyDescent="0.2"/>
  <cols>
    <col min="1" max="11" width="10.83203125" style="117"/>
    <col min="12" max="12" width="11.1640625" style="117" bestFit="1" customWidth="1"/>
    <col min="13" max="16384" width="10.83203125" style="117"/>
  </cols>
  <sheetData>
    <row r="1" spans="1:8" x14ac:dyDescent="0.2">
      <c r="A1" s="118" t="s">
        <v>836</v>
      </c>
      <c r="B1" s="118"/>
      <c r="C1" s="118"/>
      <c r="D1" s="118"/>
      <c r="E1" s="118"/>
      <c r="F1" s="118"/>
      <c r="G1" s="118"/>
      <c r="H1" s="118"/>
    </row>
    <row r="3" spans="1:8" x14ac:dyDescent="0.2">
      <c r="A3" s="117" t="s">
        <v>837</v>
      </c>
    </row>
    <row r="4" spans="1:8" x14ac:dyDescent="0.2">
      <c r="A4" s="117" t="s">
        <v>838</v>
      </c>
    </row>
    <row r="5" spans="1:8" x14ac:dyDescent="0.2">
      <c r="A5" s="117" t="s">
        <v>839</v>
      </c>
    </row>
    <row r="6" spans="1:8" x14ac:dyDescent="0.2">
      <c r="A6" s="117" t="s">
        <v>840</v>
      </c>
    </row>
    <row r="7" spans="1:8" x14ac:dyDescent="0.2">
      <c r="A7" s="117" t="s">
        <v>841</v>
      </c>
    </row>
    <row r="8" spans="1:8" x14ac:dyDescent="0.2">
      <c r="A8" s="117" t="s">
        <v>842</v>
      </c>
    </row>
    <row r="10" spans="1:8" x14ac:dyDescent="0.2">
      <c r="A10" s="117" t="s">
        <v>843</v>
      </c>
    </row>
    <row r="11" spans="1:8" x14ac:dyDescent="0.2">
      <c r="A11" s="117" t="s">
        <v>844</v>
      </c>
    </row>
    <row r="17" spans="1:9" ht="17" thickBot="1" x14ac:dyDescent="0.25"/>
    <row r="18" spans="1:9" ht="17" thickBot="1" x14ac:dyDescent="0.25">
      <c r="A18" s="121" t="s">
        <v>845</v>
      </c>
      <c r="B18" s="122"/>
      <c r="C18" s="122"/>
      <c r="D18" s="122"/>
      <c r="E18" s="122"/>
      <c r="F18" s="122"/>
      <c r="G18" s="122"/>
      <c r="H18" s="122"/>
      <c r="I18" s="123"/>
    </row>
    <row r="19" spans="1:9" x14ac:dyDescent="0.2">
      <c r="A19" s="117" t="s">
        <v>846</v>
      </c>
    </row>
    <row r="20" spans="1:9" x14ac:dyDescent="0.2">
      <c r="A20" s="117" t="s">
        <v>847</v>
      </c>
      <c r="I20" s="117" t="s">
        <v>855</v>
      </c>
    </row>
    <row r="21" spans="1:9" ht="17" thickBot="1" x14ac:dyDescent="0.25">
      <c r="A21" s="117" t="s">
        <v>848</v>
      </c>
      <c r="I21" s="117" t="s">
        <v>855</v>
      </c>
    </row>
    <row r="22" spans="1:9" ht="17" thickBot="1" x14ac:dyDescent="0.25">
      <c r="A22" s="117" t="s">
        <v>849</v>
      </c>
      <c r="E22" s="120"/>
      <c r="I22" s="117" t="s">
        <v>856</v>
      </c>
    </row>
    <row r="23" spans="1:9" x14ac:dyDescent="0.2">
      <c r="A23" s="117" t="s">
        <v>850</v>
      </c>
      <c r="I23" s="117" t="s">
        <v>856</v>
      </c>
    </row>
    <row r="24" spans="1:9" x14ac:dyDescent="0.2">
      <c r="A24" s="117" t="s">
        <v>851</v>
      </c>
      <c r="I24" s="117" t="s">
        <v>856</v>
      </c>
    </row>
    <row r="25" spans="1:9" x14ac:dyDescent="0.2">
      <c r="A25" s="117" t="s">
        <v>852</v>
      </c>
    </row>
    <row r="26" spans="1:9" x14ac:dyDescent="0.2">
      <c r="A26" s="117" t="s">
        <v>853</v>
      </c>
      <c r="I26" s="117" t="s">
        <v>856</v>
      </c>
    </row>
    <row r="27" spans="1:9" x14ac:dyDescent="0.2">
      <c r="A27" s="117" t="s">
        <v>854</v>
      </c>
    </row>
    <row r="29" spans="1:9" x14ac:dyDescent="0.2">
      <c r="A29" s="117" t="s">
        <v>859</v>
      </c>
    </row>
    <row r="30" spans="1:9" x14ac:dyDescent="0.2">
      <c r="A30" s="117" t="s">
        <v>857</v>
      </c>
    </row>
    <row r="31" spans="1:9" x14ac:dyDescent="0.2">
      <c r="A31" s="117" t="s">
        <v>858</v>
      </c>
    </row>
    <row r="32" spans="1:9" ht="17" thickBot="1" x14ac:dyDescent="0.25"/>
    <row r="33" spans="1:16" ht="17" thickBot="1" x14ac:dyDescent="0.25">
      <c r="A33" s="121" t="s">
        <v>860</v>
      </c>
      <c r="B33" s="122"/>
      <c r="C33" s="122"/>
      <c r="D33" s="122"/>
      <c r="E33" s="122"/>
      <c r="F33" s="122"/>
      <c r="G33" s="122"/>
      <c r="H33" s="122"/>
      <c r="I33" s="123"/>
    </row>
    <row r="34" spans="1:16" x14ac:dyDescent="0.2">
      <c r="A34" s="117" t="s">
        <v>861</v>
      </c>
    </row>
    <row r="35" spans="1:16" x14ac:dyDescent="0.2">
      <c r="B35" s="117" t="s">
        <v>862</v>
      </c>
    </row>
    <row r="36" spans="1:16" x14ac:dyDescent="0.2">
      <c r="B36" s="117" t="s">
        <v>863</v>
      </c>
    </row>
    <row r="37" spans="1:16" x14ac:dyDescent="0.2">
      <c r="C37" s="117" t="s">
        <v>864</v>
      </c>
    </row>
    <row r="38" spans="1:16" x14ac:dyDescent="0.2">
      <c r="C38" s="117" t="s">
        <v>865</v>
      </c>
    </row>
    <row r="40" spans="1:16" x14ac:dyDescent="0.2">
      <c r="A40" s="117" t="s">
        <v>866</v>
      </c>
    </row>
    <row r="41" spans="1:16" x14ac:dyDescent="0.2">
      <c r="A41" s="117" t="s">
        <v>867</v>
      </c>
    </row>
    <row r="42" spans="1:16" x14ac:dyDescent="0.2">
      <c r="B42" s="117" t="s">
        <v>868</v>
      </c>
    </row>
    <row r="43" spans="1:16" x14ac:dyDescent="0.2">
      <c r="A43" s="117" t="s">
        <v>869</v>
      </c>
    </row>
    <row r="44" spans="1:16" x14ac:dyDescent="0.2">
      <c r="B44" s="117" t="s">
        <v>870</v>
      </c>
    </row>
    <row r="45" spans="1:16" x14ac:dyDescent="0.2">
      <c r="B45" s="117" t="s">
        <v>871</v>
      </c>
    </row>
    <row r="47" spans="1:16" x14ac:dyDescent="0.2">
      <c r="A47" s="124" t="s">
        <v>872</v>
      </c>
      <c r="B47" s="118"/>
      <c r="C47" s="118"/>
      <c r="D47" s="118"/>
      <c r="E47" s="118"/>
      <c r="F47" s="118"/>
      <c r="G47" s="118"/>
      <c r="H47" s="118"/>
    </row>
    <row r="48" spans="1:16" x14ac:dyDescent="0.2">
      <c r="A48" s="117" t="s">
        <v>873</v>
      </c>
      <c r="J48" s="130"/>
      <c r="K48" s="130"/>
      <c r="L48" s="134" t="s">
        <v>711</v>
      </c>
      <c r="M48" s="130"/>
      <c r="N48" s="134" t="s">
        <v>711</v>
      </c>
      <c r="P48" s="134" t="s">
        <v>711</v>
      </c>
    </row>
    <row r="49" spans="1:17" x14ac:dyDescent="0.2">
      <c r="A49" s="117" t="s">
        <v>874</v>
      </c>
      <c r="J49" s="130"/>
      <c r="K49" s="130"/>
      <c r="L49" s="134" t="s">
        <v>893</v>
      </c>
      <c r="M49" s="130" t="s">
        <v>659</v>
      </c>
      <c r="N49" s="134" t="s">
        <v>893</v>
      </c>
      <c r="O49" s="130" t="s">
        <v>659</v>
      </c>
      <c r="P49" s="134" t="s">
        <v>893</v>
      </c>
      <c r="Q49" s="130" t="s">
        <v>659</v>
      </c>
    </row>
    <row r="50" spans="1:17" x14ac:dyDescent="0.2">
      <c r="A50" s="117" t="s">
        <v>875</v>
      </c>
      <c r="J50" s="128">
        <v>43466</v>
      </c>
      <c r="K50" s="128">
        <v>43830</v>
      </c>
      <c r="L50" s="128">
        <v>44196</v>
      </c>
      <c r="M50" s="128">
        <v>44196</v>
      </c>
      <c r="N50" s="128">
        <v>44561</v>
      </c>
      <c r="O50" s="128">
        <v>44561</v>
      </c>
      <c r="P50" s="128">
        <v>44926</v>
      </c>
      <c r="Q50" s="128">
        <v>44926</v>
      </c>
    </row>
    <row r="51" spans="1:17" x14ac:dyDescent="0.2">
      <c r="A51" s="117" t="s">
        <v>876</v>
      </c>
      <c r="I51" s="117" t="s">
        <v>95</v>
      </c>
      <c r="J51" s="129">
        <v>120000</v>
      </c>
      <c r="K51" s="129">
        <f t="shared" ref="K51:Q51" si="0">J51</f>
        <v>120000</v>
      </c>
      <c r="L51" s="129">
        <f t="shared" si="0"/>
        <v>120000</v>
      </c>
      <c r="M51" s="129">
        <f t="shared" si="0"/>
        <v>120000</v>
      </c>
      <c r="N51" s="129">
        <f t="shared" si="0"/>
        <v>120000</v>
      </c>
      <c r="O51" s="129">
        <f t="shared" si="0"/>
        <v>120000</v>
      </c>
      <c r="P51" s="129">
        <f t="shared" si="0"/>
        <v>120000</v>
      </c>
      <c r="Q51" s="129">
        <f t="shared" si="0"/>
        <v>120000</v>
      </c>
    </row>
    <row r="52" spans="1:17" x14ac:dyDescent="0.2">
      <c r="A52" s="117" t="s">
        <v>877</v>
      </c>
      <c r="I52" s="117" t="s">
        <v>96</v>
      </c>
      <c r="J52" s="130">
        <v>0</v>
      </c>
      <c r="K52" s="130">
        <f>K56</f>
        <v>24000</v>
      </c>
      <c r="L52" s="130">
        <f>K52+L56</f>
        <v>48000</v>
      </c>
      <c r="M52" s="130">
        <f>L52</f>
        <v>48000</v>
      </c>
      <c r="N52" s="130">
        <f>M52+N56</f>
        <v>72000</v>
      </c>
      <c r="O52" s="130">
        <f>N52</f>
        <v>72000</v>
      </c>
      <c r="P52" s="129">
        <f>O52+P56+O53/2</f>
        <v>96000</v>
      </c>
      <c r="Q52" s="129">
        <f>P52</f>
        <v>96000</v>
      </c>
    </row>
    <row r="53" spans="1:17" x14ac:dyDescent="0.2">
      <c r="A53" s="117" t="s">
        <v>878</v>
      </c>
      <c r="I53" s="117" t="s">
        <v>718</v>
      </c>
      <c r="J53" s="130">
        <v>0</v>
      </c>
      <c r="K53" s="130">
        <v>0</v>
      </c>
      <c r="L53" s="130"/>
      <c r="M53" s="130"/>
      <c r="N53" s="130"/>
      <c r="O53" s="129">
        <f>N54-O54</f>
        <v>13000</v>
      </c>
      <c r="P53" s="129">
        <f>O53/2</f>
        <v>6500</v>
      </c>
      <c r="Q53" s="129">
        <v>0</v>
      </c>
    </row>
    <row r="54" spans="1:17" x14ac:dyDescent="0.2">
      <c r="A54" s="117" t="s">
        <v>879</v>
      </c>
      <c r="I54" s="117" t="s">
        <v>99</v>
      </c>
      <c r="J54" s="131">
        <f>J51</f>
        <v>120000</v>
      </c>
      <c r="K54" s="131">
        <f>K51-K52-K53</f>
        <v>96000</v>
      </c>
      <c r="L54" s="131">
        <f>L51-L52-L53</f>
        <v>72000</v>
      </c>
      <c r="M54" s="131">
        <f>M51-M52-M53</f>
        <v>72000</v>
      </c>
      <c r="N54" s="131">
        <f>N51-N52-N53</f>
        <v>48000</v>
      </c>
      <c r="O54" s="131">
        <v>35000</v>
      </c>
      <c r="P54" s="131">
        <f>P51-P52-P53</f>
        <v>17500</v>
      </c>
      <c r="Q54" s="131">
        <f>Q51-Q52-Q53</f>
        <v>24000</v>
      </c>
    </row>
    <row r="55" spans="1:17" x14ac:dyDescent="0.2">
      <c r="J55" s="130"/>
      <c r="K55" s="130"/>
      <c r="L55" s="130"/>
      <c r="M55" s="130"/>
      <c r="N55" s="130"/>
      <c r="O55" s="130"/>
      <c r="P55" s="130"/>
      <c r="Q55" s="130"/>
    </row>
    <row r="56" spans="1:17" x14ac:dyDescent="0.2">
      <c r="A56" s="117" t="s">
        <v>880</v>
      </c>
      <c r="I56" s="117" t="s">
        <v>100</v>
      </c>
      <c r="J56" s="130">
        <v>0</v>
      </c>
      <c r="K56" s="130">
        <f>J54/5</f>
        <v>24000</v>
      </c>
      <c r="L56" s="130">
        <f>K56</f>
        <v>24000</v>
      </c>
      <c r="M56" s="130">
        <f>L56</f>
        <v>24000</v>
      </c>
      <c r="N56" s="130">
        <f>M56</f>
        <v>24000</v>
      </c>
      <c r="O56" s="130">
        <f>N56</f>
        <v>24000</v>
      </c>
      <c r="P56" s="130">
        <f>O54/2</f>
        <v>17500</v>
      </c>
      <c r="Q56" s="130">
        <f>P56</f>
        <v>17500</v>
      </c>
    </row>
    <row r="57" spans="1:17" x14ac:dyDescent="0.2">
      <c r="A57" s="117" t="s">
        <v>881</v>
      </c>
      <c r="J57" s="130"/>
      <c r="K57" s="130"/>
      <c r="L57" s="130"/>
      <c r="M57" s="130"/>
      <c r="N57" s="130"/>
      <c r="O57" s="130"/>
      <c r="P57" s="130"/>
      <c r="Q57" s="130"/>
    </row>
    <row r="58" spans="1:17" x14ac:dyDescent="0.2">
      <c r="A58" s="117" t="s">
        <v>882</v>
      </c>
      <c r="I58" s="117" t="s">
        <v>891</v>
      </c>
      <c r="J58" s="130">
        <v>0</v>
      </c>
      <c r="K58" s="130"/>
      <c r="L58" s="130"/>
      <c r="M58" s="130"/>
      <c r="N58" s="130"/>
      <c r="O58" s="129">
        <f>O53</f>
        <v>13000</v>
      </c>
      <c r="P58" s="130"/>
      <c r="Q58" s="129"/>
    </row>
    <row r="59" spans="1:17" x14ac:dyDescent="0.2">
      <c r="A59" s="117" t="s">
        <v>883</v>
      </c>
      <c r="I59" s="117" t="s">
        <v>892</v>
      </c>
      <c r="J59" s="130">
        <v>0</v>
      </c>
      <c r="K59" s="130"/>
      <c r="L59" s="130"/>
      <c r="M59" s="130"/>
      <c r="N59" s="130"/>
      <c r="O59" s="130"/>
      <c r="P59" s="130"/>
      <c r="Q59" s="129">
        <f>P53</f>
        <v>6500</v>
      </c>
    </row>
    <row r="60" spans="1:17" x14ac:dyDescent="0.2">
      <c r="A60" s="117" t="s">
        <v>884</v>
      </c>
      <c r="J60" s="130"/>
      <c r="K60" s="130"/>
      <c r="L60" s="130"/>
      <c r="M60" s="130"/>
    </row>
    <row r="61" spans="1:17" x14ac:dyDescent="0.2">
      <c r="A61" s="117" t="s">
        <v>885</v>
      </c>
      <c r="I61" s="117" t="s">
        <v>894</v>
      </c>
    </row>
    <row r="62" spans="1:17" x14ac:dyDescent="0.2">
      <c r="I62" s="117" t="s">
        <v>895</v>
      </c>
    </row>
    <row r="63" spans="1:17" x14ac:dyDescent="0.2">
      <c r="A63" s="117" t="s">
        <v>886</v>
      </c>
      <c r="I63" s="117" t="s">
        <v>896</v>
      </c>
    </row>
    <row r="65" spans="1:13" x14ac:dyDescent="0.2">
      <c r="A65" s="125" t="s">
        <v>656</v>
      </c>
      <c r="B65" s="125" t="s">
        <v>706</v>
      </c>
      <c r="C65" s="125" t="s">
        <v>887</v>
      </c>
      <c r="D65" s="125" t="s">
        <v>888</v>
      </c>
      <c r="I65" s="117" t="s">
        <v>897</v>
      </c>
    </row>
    <row r="66" spans="1:13" x14ac:dyDescent="0.2">
      <c r="A66" s="126">
        <v>44561</v>
      </c>
      <c r="B66" s="127">
        <v>40000</v>
      </c>
      <c r="C66" s="127">
        <v>5000</v>
      </c>
      <c r="D66" s="127">
        <v>30000</v>
      </c>
    </row>
    <row r="67" spans="1:13" x14ac:dyDescent="0.2">
      <c r="A67" s="126">
        <v>44926</v>
      </c>
      <c r="B67" s="127">
        <v>30000</v>
      </c>
      <c r="C67" s="127">
        <v>2000</v>
      </c>
      <c r="D67" s="127">
        <v>42000</v>
      </c>
      <c r="F67" s="127"/>
      <c r="I67" s="117" t="s">
        <v>898</v>
      </c>
    </row>
    <row r="68" spans="1:13" x14ac:dyDescent="0.2">
      <c r="A68" s="126"/>
      <c r="I68" s="117" t="s">
        <v>899</v>
      </c>
    </row>
    <row r="69" spans="1:13" x14ac:dyDescent="0.2">
      <c r="A69" s="117" t="s">
        <v>60</v>
      </c>
    </row>
    <row r="70" spans="1:13" x14ac:dyDescent="0.2">
      <c r="A70" s="117" t="s">
        <v>889</v>
      </c>
      <c r="I70" s="119" t="s">
        <v>900</v>
      </c>
    </row>
    <row r="71" spans="1:13" x14ac:dyDescent="0.2">
      <c r="A71" s="117" t="s">
        <v>890</v>
      </c>
    </row>
    <row r="72" spans="1:13" x14ac:dyDescent="0.2">
      <c r="L72" s="135" t="s">
        <v>901</v>
      </c>
      <c r="M72" s="135" t="s">
        <v>902</v>
      </c>
    </row>
    <row r="73" spans="1:13" x14ac:dyDescent="0.2">
      <c r="H73" s="117">
        <v>2019</v>
      </c>
      <c r="I73" s="117" t="s">
        <v>903</v>
      </c>
      <c r="L73" s="127">
        <v>120000</v>
      </c>
      <c r="M73" s="127"/>
    </row>
    <row r="74" spans="1:13" x14ac:dyDescent="0.2">
      <c r="I74" s="117" t="s">
        <v>454</v>
      </c>
      <c r="L74" s="127"/>
      <c r="M74" s="127">
        <f>L73</f>
        <v>120000</v>
      </c>
    </row>
    <row r="75" spans="1:13" x14ac:dyDescent="0.2">
      <c r="L75" s="127"/>
      <c r="M75" s="127"/>
    </row>
    <row r="76" spans="1:13" x14ac:dyDescent="0.2">
      <c r="H76" s="117">
        <v>2019</v>
      </c>
      <c r="I76" s="117" t="s">
        <v>904</v>
      </c>
      <c r="L76" s="127">
        <v>24000</v>
      </c>
      <c r="M76" s="127"/>
    </row>
    <row r="77" spans="1:13" x14ac:dyDescent="0.2">
      <c r="I77" s="117" t="s">
        <v>905</v>
      </c>
      <c r="L77" s="127"/>
      <c r="M77" s="127">
        <f>L76</f>
        <v>24000</v>
      </c>
    </row>
    <row r="78" spans="1:13" x14ac:dyDescent="0.2">
      <c r="L78" s="127"/>
      <c r="M78" s="127"/>
    </row>
    <row r="79" spans="1:13" x14ac:dyDescent="0.2">
      <c r="H79" s="117">
        <v>2020</v>
      </c>
      <c r="I79" s="117" t="s">
        <v>904</v>
      </c>
      <c r="L79" s="127">
        <v>24000</v>
      </c>
      <c r="M79" s="127"/>
    </row>
    <row r="80" spans="1:13" x14ac:dyDescent="0.2">
      <c r="I80" s="117" t="s">
        <v>905</v>
      </c>
      <c r="L80" s="127"/>
      <c r="M80" s="127">
        <f>L79</f>
        <v>24000</v>
      </c>
    </row>
    <row r="81" spans="1:13" x14ac:dyDescent="0.2">
      <c r="L81" s="127"/>
      <c r="M81" s="127"/>
    </row>
    <row r="82" spans="1:13" x14ac:dyDescent="0.2">
      <c r="H82" s="117">
        <v>2021</v>
      </c>
      <c r="I82" s="117" t="s">
        <v>904</v>
      </c>
      <c r="L82" s="127">
        <v>24000</v>
      </c>
      <c r="M82" s="127"/>
    </row>
    <row r="83" spans="1:13" x14ac:dyDescent="0.2">
      <c r="I83" s="117" t="s">
        <v>905</v>
      </c>
      <c r="L83" s="127"/>
      <c r="M83" s="127">
        <f>L82</f>
        <v>24000</v>
      </c>
    </row>
    <row r="84" spans="1:13" x14ac:dyDescent="0.2">
      <c r="L84" s="127"/>
      <c r="M84" s="127"/>
    </row>
    <row r="85" spans="1:13" x14ac:dyDescent="0.2">
      <c r="H85" s="117">
        <v>2021</v>
      </c>
      <c r="I85" s="117" t="s">
        <v>906</v>
      </c>
      <c r="L85" s="127">
        <f>O53</f>
        <v>13000</v>
      </c>
      <c r="M85" s="127"/>
    </row>
    <row r="86" spans="1:13" x14ac:dyDescent="0.2">
      <c r="I86" s="117" t="s">
        <v>907</v>
      </c>
      <c r="L86" s="127"/>
      <c r="M86" s="127">
        <f>L85</f>
        <v>13000</v>
      </c>
    </row>
    <row r="87" spans="1:13" x14ac:dyDescent="0.2">
      <c r="L87" s="127"/>
      <c r="M87" s="127"/>
    </row>
    <row r="88" spans="1:13" x14ac:dyDescent="0.2">
      <c r="H88" s="117">
        <v>2022</v>
      </c>
      <c r="I88" s="117" t="s">
        <v>904</v>
      </c>
      <c r="L88" s="127">
        <f>P56</f>
        <v>17500</v>
      </c>
      <c r="M88" s="127"/>
    </row>
    <row r="89" spans="1:13" x14ac:dyDescent="0.2">
      <c r="I89" s="117" t="s">
        <v>908</v>
      </c>
      <c r="L89" s="127">
        <f>P53</f>
        <v>6500</v>
      </c>
      <c r="M89" s="127"/>
    </row>
    <row r="90" spans="1:13" x14ac:dyDescent="0.2">
      <c r="I90" s="117" t="s">
        <v>905</v>
      </c>
      <c r="L90" s="127"/>
      <c r="M90" s="127">
        <f>M83</f>
        <v>24000</v>
      </c>
    </row>
    <row r="91" spans="1:13" x14ac:dyDescent="0.2">
      <c r="L91" s="127"/>
      <c r="M91" s="127"/>
    </row>
    <row r="92" spans="1:13" x14ac:dyDescent="0.2">
      <c r="H92" s="117">
        <v>2022</v>
      </c>
      <c r="I92" s="117" t="s">
        <v>909</v>
      </c>
      <c r="L92" s="127">
        <f>L89</f>
        <v>6500</v>
      </c>
      <c r="M92" s="127"/>
    </row>
    <row r="93" spans="1:13" x14ac:dyDescent="0.2">
      <c r="I93" s="117" t="s">
        <v>910</v>
      </c>
      <c r="L93" s="127"/>
      <c r="M93" s="127">
        <f>L92</f>
        <v>6500</v>
      </c>
    </row>
    <row r="96" spans="1:13" x14ac:dyDescent="0.2">
      <c r="A96" s="124" t="s">
        <v>911</v>
      </c>
      <c r="B96" s="118"/>
      <c r="C96" s="118"/>
      <c r="D96" s="118"/>
      <c r="E96" s="118"/>
      <c r="F96" s="118"/>
      <c r="G96" s="118"/>
      <c r="H96" s="118"/>
    </row>
    <row r="98" spans="1:4" x14ac:dyDescent="0.2">
      <c r="A98" s="117" t="s">
        <v>912</v>
      </c>
    </row>
    <row r="99" spans="1:4" x14ac:dyDescent="0.2">
      <c r="A99" s="117" t="s">
        <v>913</v>
      </c>
    </row>
    <row r="100" spans="1:4" x14ac:dyDescent="0.2">
      <c r="A100" s="117" t="s">
        <v>914</v>
      </c>
    </row>
    <row r="101" spans="1:4" x14ac:dyDescent="0.2">
      <c r="A101" s="117" t="s">
        <v>915</v>
      </c>
    </row>
    <row r="102" spans="1:4" x14ac:dyDescent="0.2">
      <c r="A102" s="117" t="s">
        <v>916</v>
      </c>
    </row>
    <row r="103" spans="1:4" x14ac:dyDescent="0.2">
      <c r="A103" s="117" t="s">
        <v>917</v>
      </c>
    </row>
    <row r="104" spans="1:4" x14ac:dyDescent="0.2">
      <c r="A104" s="117" t="s">
        <v>918</v>
      </c>
    </row>
    <row r="105" spans="1:4" x14ac:dyDescent="0.2">
      <c r="A105" s="117" t="s">
        <v>919</v>
      </c>
    </row>
    <row r="106" spans="1:4" x14ac:dyDescent="0.2">
      <c r="A106" s="117" t="s">
        <v>920</v>
      </c>
    </row>
    <row r="107" spans="1:4" x14ac:dyDescent="0.2">
      <c r="B107" s="117" t="s">
        <v>921</v>
      </c>
      <c r="C107" s="117" t="s">
        <v>887</v>
      </c>
      <c r="D107" s="117" t="s">
        <v>922</v>
      </c>
    </row>
    <row r="108" spans="1:4" x14ac:dyDescent="0.2">
      <c r="A108" s="126">
        <v>44926</v>
      </c>
      <c r="B108" s="127">
        <v>550000</v>
      </c>
      <c r="C108" s="127">
        <v>60000</v>
      </c>
      <c r="D108" s="127">
        <v>590000</v>
      </c>
    </row>
    <row r="109" spans="1:4" x14ac:dyDescent="0.2">
      <c r="A109" s="117" t="s">
        <v>923</v>
      </c>
    </row>
    <row r="110" spans="1:4" x14ac:dyDescent="0.2">
      <c r="A110" s="117" t="s">
        <v>924</v>
      </c>
    </row>
    <row r="112" spans="1:4" x14ac:dyDescent="0.2">
      <c r="B112" s="117" t="s">
        <v>921</v>
      </c>
      <c r="C112" s="117" t="s">
        <v>887</v>
      </c>
      <c r="D112" s="117" t="s">
        <v>922</v>
      </c>
    </row>
    <row r="113" spans="1:11" x14ac:dyDescent="0.2">
      <c r="A113" s="126">
        <v>45291</v>
      </c>
      <c r="B113" s="127">
        <v>580000</v>
      </c>
      <c r="C113" s="127">
        <v>40000</v>
      </c>
      <c r="D113" s="127">
        <v>630000</v>
      </c>
    </row>
    <row r="114" spans="1:11" x14ac:dyDescent="0.2">
      <c r="A114" s="126">
        <v>45657</v>
      </c>
      <c r="B114" s="127">
        <v>430000</v>
      </c>
      <c r="C114" s="127">
        <v>10000</v>
      </c>
      <c r="D114" s="127">
        <v>520000</v>
      </c>
    </row>
    <row r="115" spans="1:11" x14ac:dyDescent="0.2">
      <c r="A115" s="126">
        <v>46022</v>
      </c>
      <c r="B115" s="127">
        <v>750000</v>
      </c>
      <c r="C115" s="127">
        <v>6000</v>
      </c>
      <c r="D115" s="127">
        <v>660000</v>
      </c>
      <c r="E115" s="130" t="s">
        <v>152</v>
      </c>
    </row>
    <row r="117" spans="1:11" x14ac:dyDescent="0.2">
      <c r="A117" s="117" t="s">
        <v>925</v>
      </c>
    </row>
    <row r="119" spans="1:11" x14ac:dyDescent="0.2">
      <c r="A119" s="119" t="s">
        <v>926</v>
      </c>
    </row>
    <row r="121" spans="1:11" x14ac:dyDescent="0.2">
      <c r="D121" s="117" t="s">
        <v>927</v>
      </c>
      <c r="E121" s="117" t="s">
        <v>928</v>
      </c>
      <c r="F121" s="117" t="s">
        <v>927</v>
      </c>
      <c r="G121" s="117" t="s">
        <v>928</v>
      </c>
      <c r="H121" s="117" t="s">
        <v>927</v>
      </c>
      <c r="I121" s="117" t="s">
        <v>928</v>
      </c>
      <c r="J121" s="117" t="s">
        <v>927</v>
      </c>
      <c r="K121" s="117" t="s">
        <v>928</v>
      </c>
    </row>
    <row r="122" spans="1:11" x14ac:dyDescent="0.2">
      <c r="B122" s="126">
        <v>44196</v>
      </c>
      <c r="C122" s="126">
        <v>44561</v>
      </c>
      <c r="D122" s="126">
        <v>44926</v>
      </c>
      <c r="E122" s="126">
        <v>44926</v>
      </c>
      <c r="F122" s="126">
        <v>45291</v>
      </c>
      <c r="G122" s="126">
        <v>45291</v>
      </c>
      <c r="H122" s="126">
        <v>45657</v>
      </c>
      <c r="I122" s="126">
        <v>45657</v>
      </c>
      <c r="J122" s="126">
        <v>46022</v>
      </c>
      <c r="K122" s="126">
        <v>46022</v>
      </c>
    </row>
    <row r="123" spans="1:11" x14ac:dyDescent="0.2">
      <c r="A123" s="117" t="s">
        <v>95</v>
      </c>
      <c r="B123" s="127">
        <v>1000000</v>
      </c>
      <c r="C123" s="127">
        <v>1000000</v>
      </c>
      <c r="D123" s="127">
        <v>1000000</v>
      </c>
      <c r="E123" s="127">
        <v>1000000</v>
      </c>
      <c r="F123" s="127">
        <v>1000000</v>
      </c>
      <c r="G123" s="127">
        <v>1000000</v>
      </c>
      <c r="H123" s="127">
        <v>1000000</v>
      </c>
      <c r="I123" s="127">
        <v>1000000</v>
      </c>
      <c r="J123" s="127">
        <v>1000000</v>
      </c>
      <c r="K123" s="127">
        <v>1000000</v>
      </c>
    </row>
    <row r="124" spans="1:11" x14ac:dyDescent="0.2">
      <c r="A124" s="117" t="s">
        <v>96</v>
      </c>
      <c r="B124" s="127">
        <f>B131</f>
        <v>100000</v>
      </c>
      <c r="C124" s="127">
        <f>B124+C131</f>
        <v>200000</v>
      </c>
      <c r="D124" s="127">
        <f>C124+D131</f>
        <v>300000</v>
      </c>
      <c r="E124" s="127">
        <f>D124</f>
        <v>300000</v>
      </c>
      <c r="F124" s="127">
        <f>E124+F131+E125/7</f>
        <v>400000.00000000006</v>
      </c>
      <c r="G124" s="127">
        <f>F124</f>
        <v>400000.00000000006</v>
      </c>
      <c r="H124" s="127">
        <f>G124+H131</f>
        <v>500000.00000000006</v>
      </c>
      <c r="I124" s="127">
        <f>H124</f>
        <v>500000.00000000006</v>
      </c>
      <c r="J124" s="127">
        <f>I124+J131</f>
        <v>600000</v>
      </c>
      <c r="K124" s="127">
        <f>J124</f>
        <v>600000</v>
      </c>
    </row>
    <row r="125" spans="1:11" x14ac:dyDescent="0.2">
      <c r="A125" s="117" t="s">
        <v>929</v>
      </c>
      <c r="B125" s="127">
        <v>0</v>
      </c>
      <c r="C125" s="127">
        <v>0</v>
      </c>
      <c r="D125" s="127">
        <v>0</v>
      </c>
      <c r="E125" s="127">
        <f>E128</f>
        <v>110000</v>
      </c>
      <c r="F125" s="127">
        <f>E125-E125/7</f>
        <v>94285.71428571429</v>
      </c>
      <c r="G125" s="117">
        <v>0</v>
      </c>
      <c r="H125" s="117">
        <v>0</v>
      </c>
      <c r="I125" s="117">
        <v>0</v>
      </c>
      <c r="J125" s="117">
        <v>0</v>
      </c>
      <c r="K125" s="117">
        <f>0</f>
        <v>0</v>
      </c>
    </row>
    <row r="126" spans="1:11" x14ac:dyDescent="0.2">
      <c r="A126" s="117" t="s">
        <v>99</v>
      </c>
      <c r="B126" s="127">
        <f>B123-B124-B125</f>
        <v>900000</v>
      </c>
      <c r="C126" s="127">
        <f>C123-C124-C125</f>
        <v>800000</v>
      </c>
      <c r="D126" s="127">
        <f>D123-D124-D125</f>
        <v>700000</v>
      </c>
      <c r="E126" s="127">
        <f>E135</f>
        <v>590000</v>
      </c>
      <c r="F126" s="127">
        <f>F123-F124-F125</f>
        <v>505714.28571428568</v>
      </c>
      <c r="G126" s="127">
        <f>G123-G124-G125</f>
        <v>600000</v>
      </c>
      <c r="H126" s="127">
        <f>H123-H124-H125</f>
        <v>499999.99999999994</v>
      </c>
      <c r="I126" s="127">
        <f>H126</f>
        <v>499999.99999999994</v>
      </c>
      <c r="J126" s="127">
        <f>J123-J124-J125</f>
        <v>400000</v>
      </c>
      <c r="K126" s="127">
        <f>J126</f>
        <v>400000</v>
      </c>
    </row>
    <row r="127" spans="1:11" x14ac:dyDescent="0.2">
      <c r="B127" s="127"/>
      <c r="C127" s="127"/>
      <c r="D127" s="127"/>
      <c r="E127" s="127"/>
    </row>
    <row r="128" spans="1:11" x14ac:dyDescent="0.2">
      <c r="A128" s="117" t="s">
        <v>891</v>
      </c>
      <c r="B128" s="127"/>
      <c r="C128" s="127"/>
      <c r="D128" s="127"/>
      <c r="E128" s="127">
        <f>D126-E126</f>
        <v>110000</v>
      </c>
    </row>
    <row r="129" spans="1:16" x14ac:dyDescent="0.2">
      <c r="A129" s="117" t="s">
        <v>892</v>
      </c>
      <c r="B129" s="127"/>
      <c r="C129" s="127"/>
      <c r="D129" s="127"/>
      <c r="E129" s="127"/>
      <c r="G129" s="127">
        <f>F125</f>
        <v>94285.71428571429</v>
      </c>
    </row>
    <row r="130" spans="1:16" x14ac:dyDescent="0.2">
      <c r="B130" s="127"/>
      <c r="C130" s="127"/>
      <c r="D130" s="127"/>
      <c r="E130" s="127"/>
    </row>
    <row r="131" spans="1:16" x14ac:dyDescent="0.2">
      <c r="A131" s="117" t="s">
        <v>100</v>
      </c>
      <c r="B131" s="127">
        <f>B123/10</f>
        <v>100000</v>
      </c>
      <c r="C131" s="127">
        <f>B131</f>
        <v>100000</v>
      </c>
      <c r="D131" s="127">
        <f>C131</f>
        <v>100000</v>
      </c>
      <c r="E131" s="127">
        <f>D131</f>
        <v>100000</v>
      </c>
      <c r="F131" s="127">
        <f>E126/7</f>
        <v>84285.71428571429</v>
      </c>
      <c r="G131" s="127">
        <f>F131</f>
        <v>84285.71428571429</v>
      </c>
      <c r="H131" s="127">
        <f>G126/6</f>
        <v>100000</v>
      </c>
      <c r="I131" s="127">
        <f>H131</f>
        <v>100000</v>
      </c>
      <c r="J131" s="127">
        <f>I131</f>
        <v>100000</v>
      </c>
      <c r="K131" s="127">
        <f>J131</f>
        <v>100000</v>
      </c>
    </row>
    <row r="134" spans="1:16" x14ac:dyDescent="0.2">
      <c r="B134" s="117" t="s">
        <v>921</v>
      </c>
      <c r="C134" s="117" t="s">
        <v>887</v>
      </c>
      <c r="D134" s="117" t="s">
        <v>922</v>
      </c>
      <c r="E134" s="117" t="s">
        <v>930</v>
      </c>
    </row>
    <row r="135" spans="1:16" x14ac:dyDescent="0.2">
      <c r="A135" s="126">
        <v>44926</v>
      </c>
      <c r="B135" s="127">
        <v>550000</v>
      </c>
      <c r="C135" s="127">
        <v>60000</v>
      </c>
      <c r="D135" s="127">
        <v>590000</v>
      </c>
      <c r="E135" s="127">
        <f>MAX(D135,B135-C135)</f>
        <v>590000</v>
      </c>
    </row>
    <row r="136" spans="1:16" x14ac:dyDescent="0.2">
      <c r="A136" s="126">
        <v>45291</v>
      </c>
      <c r="B136" s="127">
        <v>580000</v>
      </c>
      <c r="C136" s="127">
        <v>40000</v>
      </c>
      <c r="D136" s="127">
        <v>630000</v>
      </c>
      <c r="E136" s="127">
        <f>MAX(D136,B136-C136)</f>
        <v>630000</v>
      </c>
    </row>
    <row r="137" spans="1:16" x14ac:dyDescent="0.2">
      <c r="A137" s="126">
        <v>45657</v>
      </c>
      <c r="B137" s="127">
        <v>430000</v>
      </c>
      <c r="C137" s="127">
        <v>10000</v>
      </c>
      <c r="D137" s="127">
        <v>520000</v>
      </c>
      <c r="E137" s="127">
        <f>MAX(D137,B137-C137)</f>
        <v>520000</v>
      </c>
    </row>
    <row r="138" spans="1:16" x14ac:dyDescent="0.2">
      <c r="A138" s="126">
        <v>46022</v>
      </c>
      <c r="B138" s="127">
        <v>750000</v>
      </c>
      <c r="C138" s="127">
        <v>6000</v>
      </c>
      <c r="D138" s="127">
        <v>660000</v>
      </c>
      <c r="E138" s="127">
        <f>MAX(D138,B138-C138)</f>
        <v>744000</v>
      </c>
    </row>
    <row r="139" spans="1:16" x14ac:dyDescent="0.2">
      <c r="L139" s="125" t="s">
        <v>659</v>
      </c>
      <c r="M139" s="125" t="s">
        <v>659</v>
      </c>
      <c r="N139" s="125" t="s">
        <v>659</v>
      </c>
      <c r="O139" s="125" t="s">
        <v>953</v>
      </c>
      <c r="P139" s="125" t="s">
        <v>659</v>
      </c>
    </row>
    <row r="140" spans="1:16" x14ac:dyDescent="0.2">
      <c r="A140" s="124" t="s">
        <v>952</v>
      </c>
      <c r="B140" s="118"/>
      <c r="C140" s="118"/>
      <c r="D140" s="118"/>
      <c r="E140" s="118"/>
      <c r="F140" s="118"/>
      <c r="G140" s="118"/>
      <c r="H140" s="118"/>
      <c r="L140" s="126">
        <v>39083</v>
      </c>
      <c r="M140" s="126">
        <v>39447</v>
      </c>
      <c r="N140" s="126">
        <v>39813</v>
      </c>
      <c r="O140" s="126">
        <v>40178</v>
      </c>
      <c r="P140" s="126">
        <v>40178</v>
      </c>
    </row>
    <row r="141" spans="1:16" x14ac:dyDescent="0.2">
      <c r="A141" s="117" t="s">
        <v>931</v>
      </c>
      <c r="J141" s="117" t="s">
        <v>95</v>
      </c>
      <c r="L141" s="117">
        <v>500000</v>
      </c>
      <c r="M141" s="117">
        <f>L141</f>
        <v>500000</v>
      </c>
      <c r="N141" s="117">
        <f>M141</f>
        <v>500000</v>
      </c>
      <c r="O141" s="117">
        <f>N141</f>
        <v>500000</v>
      </c>
      <c r="P141" s="117">
        <f>O141</f>
        <v>500000</v>
      </c>
    </row>
    <row r="142" spans="1:16" x14ac:dyDescent="0.2">
      <c r="A142" s="117" t="s">
        <v>932</v>
      </c>
      <c r="J142" s="117" t="s">
        <v>96</v>
      </c>
      <c r="L142" s="117">
        <v>0</v>
      </c>
      <c r="M142" s="117">
        <f>M146</f>
        <v>45000</v>
      </c>
      <c r="N142" s="117">
        <f>M142+N146</f>
        <v>90000</v>
      </c>
      <c r="O142" s="117">
        <f>N142+O146</f>
        <v>135000</v>
      </c>
      <c r="P142" s="117">
        <f>O142</f>
        <v>135000</v>
      </c>
    </row>
    <row r="143" spans="1:16" x14ac:dyDescent="0.2">
      <c r="A143" s="117" t="s">
        <v>933</v>
      </c>
      <c r="J143" s="117" t="s">
        <v>201</v>
      </c>
      <c r="L143" s="117">
        <v>0</v>
      </c>
      <c r="M143" s="117">
        <v>0</v>
      </c>
      <c r="P143" s="127">
        <f>P148</f>
        <v>48200</v>
      </c>
    </row>
    <row r="144" spans="1:16" x14ac:dyDescent="0.2">
      <c r="A144" s="117" t="s">
        <v>934</v>
      </c>
      <c r="J144" s="117" t="s">
        <v>99</v>
      </c>
      <c r="L144" s="132">
        <f>L141</f>
        <v>500000</v>
      </c>
      <c r="M144" s="132">
        <f>M141-M142</f>
        <v>455000</v>
      </c>
      <c r="N144" s="132">
        <f>N141-N142</f>
        <v>410000</v>
      </c>
      <c r="O144" s="132">
        <f>O141-O142</f>
        <v>365000</v>
      </c>
      <c r="P144" s="133">
        <f>K170</f>
        <v>316800</v>
      </c>
    </row>
    <row r="145" spans="1:16" x14ac:dyDescent="0.2">
      <c r="A145" s="117" t="s">
        <v>935</v>
      </c>
    </row>
    <row r="146" spans="1:16" x14ac:dyDescent="0.2">
      <c r="A146" s="117" t="s">
        <v>936</v>
      </c>
      <c r="J146" s="117" t="s">
        <v>100</v>
      </c>
      <c r="M146" s="117">
        <f>(M141-50000)/10</f>
        <v>45000</v>
      </c>
      <c r="N146" s="117">
        <f>M146</f>
        <v>45000</v>
      </c>
      <c r="O146" s="117">
        <f>N146</f>
        <v>45000</v>
      </c>
    </row>
    <row r="147" spans="1:16" x14ac:dyDescent="0.2">
      <c r="J147" s="117" t="s">
        <v>482</v>
      </c>
    </row>
    <row r="148" spans="1:16" x14ac:dyDescent="0.2">
      <c r="A148" s="117" t="s">
        <v>937</v>
      </c>
      <c r="J148" s="117" t="s">
        <v>891</v>
      </c>
      <c r="P148" s="127">
        <f>O144-P144</f>
        <v>48200</v>
      </c>
    </row>
    <row r="149" spans="1:16" x14ac:dyDescent="0.2">
      <c r="A149" s="117" t="s">
        <v>938</v>
      </c>
      <c r="J149" s="117" t="s">
        <v>892</v>
      </c>
    </row>
    <row r="150" spans="1:16" x14ac:dyDescent="0.2">
      <c r="A150" s="117" t="s">
        <v>939</v>
      </c>
    </row>
    <row r="151" spans="1:16" x14ac:dyDescent="0.2">
      <c r="A151" s="117" t="s">
        <v>940</v>
      </c>
      <c r="J151" s="117" t="s">
        <v>954</v>
      </c>
    </row>
    <row r="152" spans="1:16" x14ac:dyDescent="0.2">
      <c r="A152" s="117" t="s">
        <v>972</v>
      </c>
      <c r="J152" s="117" t="s">
        <v>958</v>
      </c>
    </row>
    <row r="153" spans="1:16" x14ac:dyDescent="0.2">
      <c r="K153" s="117" t="s">
        <v>955</v>
      </c>
      <c r="M153" s="127">
        <v>320000</v>
      </c>
    </row>
    <row r="154" spans="1:16" x14ac:dyDescent="0.2">
      <c r="A154" s="117" t="s">
        <v>941</v>
      </c>
      <c r="K154" s="117" t="s">
        <v>956</v>
      </c>
      <c r="M154" s="117">
        <f>-1%*M153</f>
        <v>-3200</v>
      </c>
    </row>
    <row r="155" spans="1:16" x14ac:dyDescent="0.2">
      <c r="A155" s="117" t="s">
        <v>942</v>
      </c>
      <c r="K155" s="117" t="s">
        <v>957</v>
      </c>
      <c r="M155" s="137">
        <f>M153+M154</f>
        <v>316800</v>
      </c>
    </row>
    <row r="157" spans="1:16" x14ac:dyDescent="0.2">
      <c r="A157" s="117" t="s">
        <v>943</v>
      </c>
      <c r="J157" s="117" t="s">
        <v>965</v>
      </c>
    </row>
    <row r="158" spans="1:16" x14ac:dyDescent="0.2">
      <c r="A158" s="117" t="s">
        <v>944</v>
      </c>
      <c r="J158" s="117" t="s">
        <v>960</v>
      </c>
      <c r="K158" s="117" t="s">
        <v>225</v>
      </c>
      <c r="L158" s="117" t="s">
        <v>959</v>
      </c>
      <c r="N158" s="117" t="s">
        <v>961</v>
      </c>
    </row>
    <row r="159" spans="1:16" x14ac:dyDescent="0.2">
      <c r="A159" s="117" t="s">
        <v>945</v>
      </c>
      <c r="J159" s="117">
        <v>1</v>
      </c>
      <c r="K159" s="117">
        <v>2010</v>
      </c>
      <c r="L159" s="127">
        <v>75000</v>
      </c>
      <c r="N159" s="117" t="s">
        <v>962</v>
      </c>
    </row>
    <row r="160" spans="1:16" x14ac:dyDescent="0.2">
      <c r="J160" s="117">
        <f>J159+1</f>
        <v>2</v>
      </c>
      <c r="K160" s="117">
        <f>K159+1</f>
        <v>2011</v>
      </c>
      <c r="L160" s="127">
        <f>L159*(1-3%)</f>
        <v>72750</v>
      </c>
      <c r="N160" s="117" t="s">
        <v>963</v>
      </c>
    </row>
    <row r="161" spans="1:14" x14ac:dyDescent="0.2">
      <c r="A161" s="117" t="s">
        <v>946</v>
      </c>
      <c r="J161" s="117">
        <f t="shared" ref="J161:J163" si="1">J160+1</f>
        <v>3</v>
      </c>
      <c r="K161" s="117">
        <f t="shared" ref="K161:K163" si="2">K160+1</f>
        <v>2012</v>
      </c>
      <c r="L161" s="127">
        <f t="shared" ref="L161:L163" si="3">L160*(1-3%)</f>
        <v>70567.5</v>
      </c>
      <c r="N161" s="117" t="s">
        <v>964</v>
      </c>
    </row>
    <row r="162" spans="1:14" x14ac:dyDescent="0.2">
      <c r="A162" s="117" t="s">
        <v>947</v>
      </c>
      <c r="J162" s="117">
        <f t="shared" si="1"/>
        <v>4</v>
      </c>
      <c r="K162" s="117">
        <f t="shared" si="2"/>
        <v>2013</v>
      </c>
      <c r="L162" s="127">
        <f t="shared" si="3"/>
        <v>68450.474999999991</v>
      </c>
    </row>
    <row r="163" spans="1:14" x14ac:dyDescent="0.2">
      <c r="J163" s="117">
        <f t="shared" si="1"/>
        <v>5</v>
      </c>
      <c r="K163" s="117">
        <f t="shared" si="2"/>
        <v>2014</v>
      </c>
      <c r="L163" s="127">
        <f t="shared" si="3"/>
        <v>66396.960749999984</v>
      </c>
    </row>
    <row r="164" spans="1:14" x14ac:dyDescent="0.2">
      <c r="A164" s="117" t="s">
        <v>948</v>
      </c>
    </row>
    <row r="165" spans="1:14" x14ac:dyDescent="0.2">
      <c r="K165" s="117" t="s">
        <v>966</v>
      </c>
      <c r="L165" s="136">
        <v>0.08</v>
      </c>
      <c r="M165" s="117" t="s">
        <v>967</v>
      </c>
    </row>
    <row r="166" spans="1:14" x14ac:dyDescent="0.2">
      <c r="A166" s="117" t="s">
        <v>949</v>
      </c>
    </row>
    <row r="167" spans="1:14" x14ac:dyDescent="0.2">
      <c r="J167" s="117" t="s">
        <v>969</v>
      </c>
      <c r="L167" s="137">
        <f>NPV(L165,L159:L163)</f>
        <v>283336.39867324685</v>
      </c>
      <c r="M167" s="117" t="s">
        <v>968</v>
      </c>
    </row>
    <row r="168" spans="1:14" x14ac:dyDescent="0.2">
      <c r="A168" s="117" t="s">
        <v>60</v>
      </c>
    </row>
    <row r="169" spans="1:14" x14ac:dyDescent="0.2">
      <c r="A169" s="117" t="s">
        <v>950</v>
      </c>
      <c r="J169" s="117" t="s">
        <v>970</v>
      </c>
    </row>
    <row r="170" spans="1:14" x14ac:dyDescent="0.2">
      <c r="A170" s="117" t="s">
        <v>951</v>
      </c>
      <c r="K170" s="138">
        <f>MAX(L167,M155)</f>
        <v>316800</v>
      </c>
      <c r="M170" s="117" t="s">
        <v>971</v>
      </c>
    </row>
    <row r="172" spans="1:14" x14ac:dyDescent="0.2">
      <c r="A172" s="3" t="s">
        <v>973</v>
      </c>
      <c r="B172" s="41"/>
      <c r="C172" s="41"/>
      <c r="D172" s="41"/>
      <c r="E172" s="41"/>
      <c r="F172" s="41"/>
      <c r="G172" s="41"/>
      <c r="H172" s="41"/>
    </row>
    <row r="173" spans="1:14" x14ac:dyDescent="0.2">
      <c r="A173" s="1" t="s">
        <v>974</v>
      </c>
      <c r="B173" s="1"/>
      <c r="C173" s="1"/>
      <c r="D173" s="1"/>
      <c r="E173" s="1"/>
      <c r="F173" s="1"/>
      <c r="G173" s="1"/>
      <c r="H173" s="1"/>
    </row>
    <row r="174" spans="1:14" x14ac:dyDescent="0.2">
      <c r="A174" s="1" t="s">
        <v>975</v>
      </c>
      <c r="B174" s="1"/>
      <c r="C174" s="1"/>
      <c r="D174" s="1"/>
      <c r="E174" s="1"/>
      <c r="F174" s="1"/>
      <c r="G174" s="1"/>
      <c r="H174" s="1"/>
    </row>
    <row r="175" spans="1:14" x14ac:dyDescent="0.2">
      <c r="A175" s="1" t="s">
        <v>976</v>
      </c>
      <c r="B175" s="1"/>
      <c r="C175" s="1"/>
      <c r="D175" s="1"/>
      <c r="E175" s="1"/>
      <c r="F175" s="1"/>
      <c r="G175" s="1"/>
      <c r="H175" s="1"/>
    </row>
    <row r="176" spans="1:14" x14ac:dyDescent="0.2">
      <c r="A176" s="1" t="s">
        <v>977</v>
      </c>
      <c r="B176" s="1"/>
      <c r="C176" s="1"/>
      <c r="D176" s="1"/>
      <c r="E176" s="1"/>
      <c r="F176" s="1"/>
      <c r="G176" s="1"/>
      <c r="H176" s="1"/>
    </row>
    <row r="177" spans="1:8" x14ac:dyDescent="0.2">
      <c r="A177" s="1" t="s">
        <v>978</v>
      </c>
      <c r="B177" s="1"/>
      <c r="C177" s="1"/>
      <c r="D177" s="1"/>
      <c r="E177" s="1"/>
      <c r="F177" s="1"/>
      <c r="G177" s="1"/>
      <c r="H177" s="1"/>
    </row>
    <row r="178" spans="1:8" x14ac:dyDescent="0.2">
      <c r="A178" s="1" t="s">
        <v>979</v>
      </c>
      <c r="B178" s="1"/>
      <c r="C178" s="1"/>
      <c r="D178" s="1"/>
      <c r="E178" s="1"/>
      <c r="F178" s="1"/>
      <c r="G178" s="1"/>
      <c r="H178" s="1"/>
    </row>
    <row r="179" spans="1:8" x14ac:dyDescent="0.2">
      <c r="A179" s="1" t="s">
        <v>980</v>
      </c>
      <c r="B179" s="1"/>
      <c r="C179" s="1"/>
      <c r="D179" s="1"/>
      <c r="E179" s="1"/>
      <c r="F179" s="1"/>
      <c r="G179" s="1"/>
      <c r="H179" s="1"/>
    </row>
    <row r="180" spans="1:8" x14ac:dyDescent="0.2">
      <c r="A180" s="1" t="s">
        <v>981</v>
      </c>
      <c r="B180" s="1"/>
      <c r="C180" s="1"/>
      <c r="D180" s="1"/>
      <c r="E180" s="1"/>
      <c r="F180" s="1"/>
      <c r="G180" s="1"/>
      <c r="H180" s="1"/>
    </row>
    <row r="181" spans="1:8" x14ac:dyDescent="0.2">
      <c r="A181" s="1" t="s">
        <v>982</v>
      </c>
      <c r="B181" s="1"/>
      <c r="C181" s="1"/>
      <c r="D181" s="1"/>
      <c r="E181" s="1"/>
      <c r="F181" s="1"/>
      <c r="G181" s="1"/>
      <c r="H181" s="1"/>
    </row>
    <row r="182" spans="1:8" x14ac:dyDescent="0.2">
      <c r="A182" s="1"/>
      <c r="B182" s="1"/>
      <c r="C182" s="1"/>
      <c r="D182" s="1"/>
      <c r="E182" s="1"/>
      <c r="F182" s="1"/>
      <c r="G182" s="1"/>
      <c r="H182" s="1"/>
    </row>
    <row r="183" spans="1:8" x14ac:dyDescent="0.2">
      <c r="A183" s="1" t="s">
        <v>983</v>
      </c>
      <c r="B183" s="1"/>
      <c r="C183" s="1"/>
      <c r="D183" s="1"/>
      <c r="E183" s="1"/>
      <c r="F183" s="1"/>
      <c r="G183" s="1"/>
      <c r="H183" s="1"/>
    </row>
    <row r="184" spans="1:8" x14ac:dyDescent="0.2">
      <c r="A184" s="1" t="s">
        <v>984</v>
      </c>
      <c r="B184" s="1"/>
      <c r="C184" s="1"/>
      <c r="D184" s="1"/>
      <c r="E184" s="1"/>
      <c r="F184" s="1"/>
      <c r="G184" s="1"/>
      <c r="H184" s="1"/>
    </row>
    <row r="185" spans="1:8" x14ac:dyDescent="0.2">
      <c r="A185" s="1" t="s">
        <v>985</v>
      </c>
      <c r="B185" s="1"/>
      <c r="C185" s="1"/>
      <c r="D185" s="1"/>
      <c r="E185" s="1"/>
      <c r="F185" s="1"/>
      <c r="G185" s="1"/>
      <c r="H185" s="1"/>
    </row>
    <row r="186" spans="1:8" x14ac:dyDescent="0.2">
      <c r="A186" s="1" t="s">
        <v>986</v>
      </c>
      <c r="B186" s="1"/>
      <c r="C186" s="1"/>
      <c r="D186" s="1"/>
      <c r="E186" s="1"/>
      <c r="F186" s="1"/>
      <c r="G186" s="1"/>
      <c r="H186" s="1"/>
    </row>
    <row r="187" spans="1:8" x14ac:dyDescent="0.2">
      <c r="A187" s="1"/>
      <c r="B187" s="1"/>
      <c r="C187" s="1"/>
      <c r="D187" s="1"/>
      <c r="E187" s="1"/>
      <c r="F187" s="1"/>
      <c r="G187" s="1"/>
      <c r="H187" s="1"/>
    </row>
    <row r="188" spans="1:8" x14ac:dyDescent="0.2">
      <c r="A188" s="1" t="s">
        <v>987</v>
      </c>
      <c r="B188" s="1"/>
      <c r="C188" s="1"/>
      <c r="D188" s="1"/>
      <c r="E188" s="1"/>
      <c r="F188" s="1"/>
      <c r="G188" s="1"/>
      <c r="H188" s="1"/>
    </row>
    <row r="189" spans="1:8" x14ac:dyDescent="0.2">
      <c r="A189" s="1" t="s">
        <v>988</v>
      </c>
      <c r="B189" s="1"/>
      <c r="C189" s="1"/>
      <c r="D189" s="1"/>
      <c r="E189" s="1"/>
      <c r="F189" s="1"/>
      <c r="G189" s="1"/>
      <c r="H189" s="1"/>
    </row>
    <row r="190" spans="1:8" x14ac:dyDescent="0.2">
      <c r="A190" s="1" t="s">
        <v>989</v>
      </c>
      <c r="B190" s="1"/>
      <c r="C190" s="1"/>
      <c r="D190" s="1"/>
      <c r="E190" s="1"/>
      <c r="F190" s="1"/>
      <c r="G190" s="1"/>
      <c r="H190" s="1"/>
    </row>
    <row r="191" spans="1:8" x14ac:dyDescent="0.2">
      <c r="A191" s="1" t="s">
        <v>990</v>
      </c>
      <c r="B191" s="1"/>
      <c r="C191" s="1"/>
      <c r="D191" s="1"/>
      <c r="E191" s="1"/>
      <c r="F191" s="1"/>
      <c r="G191" s="1"/>
      <c r="H191" s="1"/>
    </row>
    <row r="192" spans="1:8" x14ac:dyDescent="0.2">
      <c r="A192" s="1"/>
      <c r="B192" s="1"/>
      <c r="C192" s="1"/>
      <c r="D192" s="1"/>
      <c r="E192" s="1"/>
      <c r="F192" s="1"/>
      <c r="G192" s="1"/>
      <c r="H192" s="1"/>
    </row>
    <row r="193" spans="1:8" x14ac:dyDescent="0.2">
      <c r="A193" s="1" t="s">
        <v>991</v>
      </c>
      <c r="B193" s="1"/>
      <c r="C193" s="1"/>
      <c r="D193" s="1"/>
      <c r="E193" s="1"/>
      <c r="F193" s="1"/>
      <c r="G193" s="1"/>
      <c r="H193" s="1"/>
    </row>
    <row r="194" spans="1:8" x14ac:dyDescent="0.2">
      <c r="A194" s="1" t="s">
        <v>992</v>
      </c>
      <c r="B194" s="1"/>
      <c r="C194" s="1"/>
      <c r="D194" s="1"/>
      <c r="E194" s="1"/>
      <c r="F194" s="1"/>
      <c r="G194" s="1"/>
      <c r="H194" s="1"/>
    </row>
    <row r="195" spans="1:8" x14ac:dyDescent="0.2">
      <c r="A195" s="1" t="s">
        <v>993</v>
      </c>
      <c r="B195" s="1"/>
      <c r="C195" s="1"/>
      <c r="D195" s="1"/>
      <c r="E195" s="1"/>
      <c r="F195" s="1"/>
      <c r="G195" s="1"/>
      <c r="H195" s="1"/>
    </row>
    <row r="196" spans="1:8" x14ac:dyDescent="0.2">
      <c r="A196" s="1" t="s">
        <v>994</v>
      </c>
      <c r="B196" s="1"/>
      <c r="C196" s="1"/>
      <c r="D196" s="1"/>
      <c r="E196" s="1"/>
      <c r="F196" s="1"/>
      <c r="G196" s="1"/>
      <c r="H196" s="1"/>
    </row>
    <row r="197" spans="1:8" x14ac:dyDescent="0.2">
      <c r="A197" s="1"/>
      <c r="B197" s="1"/>
      <c r="C197" s="1"/>
      <c r="D197" s="1"/>
      <c r="E197" s="1"/>
      <c r="F197" s="1"/>
      <c r="G197" s="1"/>
      <c r="H197" s="1"/>
    </row>
    <row r="198" spans="1:8" x14ac:dyDescent="0.2">
      <c r="A198" s="1" t="s">
        <v>995</v>
      </c>
      <c r="B198" s="1"/>
      <c r="C198" s="1"/>
      <c r="D198" s="1"/>
      <c r="E198" s="1"/>
      <c r="F198" s="1"/>
      <c r="G198" s="1"/>
      <c r="H198" s="1"/>
    </row>
    <row r="199" spans="1:8" x14ac:dyDescent="0.2">
      <c r="A199" s="1"/>
      <c r="B199" s="1"/>
      <c r="C199" s="1"/>
      <c r="D199" s="1"/>
      <c r="E199" s="1"/>
      <c r="F199" s="1"/>
      <c r="G199" s="1"/>
      <c r="H199" s="1"/>
    </row>
    <row r="200" spans="1:8" x14ac:dyDescent="0.2">
      <c r="A200" s="1" t="s">
        <v>996</v>
      </c>
      <c r="B200" s="1"/>
      <c r="C200" s="1"/>
      <c r="D200" s="1"/>
      <c r="E200" s="1"/>
      <c r="F200" s="1"/>
      <c r="G200" s="1"/>
      <c r="H200" s="1"/>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1F0488-9779-874B-B234-4060E442DD7C}">
  <dimension ref="A1:Y106"/>
  <sheetViews>
    <sheetView rightToLeft="1" topLeftCell="A48" zoomScale="140" zoomScaleNormal="140" workbookViewId="0">
      <selection activeCell="A66" sqref="A66"/>
    </sheetView>
  </sheetViews>
  <sheetFormatPr baseColWidth="10" defaultRowHeight="16" x14ac:dyDescent="0.2"/>
  <cols>
    <col min="12" max="12" width="11.5" customWidth="1"/>
  </cols>
  <sheetData>
    <row r="1" spans="1:18" x14ac:dyDescent="0.2">
      <c r="A1" t="s">
        <v>997</v>
      </c>
    </row>
    <row r="5" spans="1:18" s="117" customFormat="1" x14ac:dyDescent="0.2">
      <c r="A5" s="3" t="s">
        <v>973</v>
      </c>
      <c r="B5" s="41"/>
      <c r="C5" s="41"/>
      <c r="D5" s="41"/>
      <c r="E5" s="41"/>
      <c r="F5" s="41"/>
      <c r="G5" s="41"/>
      <c r="H5" s="41"/>
    </row>
    <row r="6" spans="1:18" s="117" customFormat="1" x14ac:dyDescent="0.2">
      <c r="A6" s="1" t="s">
        <v>974</v>
      </c>
      <c r="B6" s="1"/>
      <c r="C6" s="1"/>
      <c r="D6" s="1"/>
      <c r="E6" s="1"/>
      <c r="F6" s="1"/>
      <c r="G6" s="1"/>
      <c r="H6" s="1"/>
    </row>
    <row r="7" spans="1:18" s="117" customFormat="1" x14ac:dyDescent="0.2">
      <c r="A7" s="1" t="s">
        <v>975</v>
      </c>
      <c r="B7" s="1"/>
      <c r="C7" s="1"/>
      <c r="D7" s="1"/>
      <c r="E7" s="1"/>
      <c r="F7" s="1"/>
      <c r="G7" s="1"/>
      <c r="H7" s="1"/>
      <c r="N7" s="139" t="s">
        <v>296</v>
      </c>
      <c r="O7" s="117" t="s">
        <v>659</v>
      </c>
      <c r="P7" s="139" t="s">
        <v>296</v>
      </c>
      <c r="Q7" s="117" t="s">
        <v>659</v>
      </c>
    </row>
    <row r="8" spans="1:18" s="117" customFormat="1" x14ac:dyDescent="0.2">
      <c r="A8" s="1" t="s">
        <v>976</v>
      </c>
      <c r="B8" s="1"/>
      <c r="C8" s="1"/>
      <c r="D8" s="1"/>
      <c r="E8" s="1"/>
      <c r="F8" s="1"/>
      <c r="G8" s="1"/>
      <c r="H8" s="1"/>
      <c r="N8" s="139" t="s">
        <v>893</v>
      </c>
      <c r="O8" s="117" t="s">
        <v>998</v>
      </c>
      <c r="P8" s="139" t="s">
        <v>893</v>
      </c>
      <c r="Q8" s="117" t="s">
        <v>998</v>
      </c>
    </row>
    <row r="9" spans="1:18" s="117" customFormat="1" x14ac:dyDescent="0.2">
      <c r="A9" s="1" t="s">
        <v>977</v>
      </c>
      <c r="B9" s="1"/>
      <c r="C9" s="1"/>
      <c r="D9" s="1"/>
      <c r="E9" s="1"/>
      <c r="F9" s="1"/>
      <c r="G9" s="1"/>
      <c r="H9" s="1"/>
      <c r="K9" s="141">
        <v>39814</v>
      </c>
      <c r="L9" s="141">
        <v>40178</v>
      </c>
      <c r="M9" s="141">
        <v>40543</v>
      </c>
      <c r="N9" s="142">
        <v>40908</v>
      </c>
      <c r="O9" s="141">
        <v>40908</v>
      </c>
      <c r="P9" s="142">
        <v>41274</v>
      </c>
      <c r="Q9" s="141">
        <v>41274</v>
      </c>
      <c r="R9" s="141">
        <v>41639</v>
      </c>
    </row>
    <row r="10" spans="1:18" s="117" customFormat="1" x14ac:dyDescent="0.2">
      <c r="A10" s="1" t="s">
        <v>978</v>
      </c>
      <c r="B10" s="1"/>
      <c r="C10" s="1"/>
      <c r="D10" s="1"/>
      <c r="E10" s="1"/>
      <c r="F10" s="1"/>
      <c r="G10" s="1"/>
      <c r="H10" s="1"/>
      <c r="J10" s="117" t="s">
        <v>95</v>
      </c>
      <c r="K10" s="127">
        <v>800000</v>
      </c>
      <c r="L10" s="127">
        <f t="shared" ref="L10:R10" si="0">K10</f>
        <v>800000</v>
      </c>
      <c r="M10" s="127">
        <f t="shared" si="0"/>
        <v>800000</v>
      </c>
      <c r="N10" s="140">
        <f t="shared" si="0"/>
        <v>800000</v>
      </c>
      <c r="O10" s="127">
        <f t="shared" si="0"/>
        <v>800000</v>
      </c>
      <c r="P10" s="140">
        <f t="shared" si="0"/>
        <v>800000</v>
      </c>
      <c r="Q10" s="127">
        <f t="shared" si="0"/>
        <v>800000</v>
      </c>
      <c r="R10" s="127">
        <f t="shared" si="0"/>
        <v>800000</v>
      </c>
    </row>
    <row r="11" spans="1:18" s="117" customFormat="1" x14ac:dyDescent="0.2">
      <c r="A11" s="1" t="s">
        <v>979</v>
      </c>
      <c r="B11" s="1"/>
      <c r="C11" s="1"/>
      <c r="D11" s="1"/>
      <c r="E11" s="1"/>
      <c r="F11" s="1"/>
      <c r="G11" s="1"/>
      <c r="H11" s="1"/>
      <c r="J11" s="117" t="s">
        <v>96</v>
      </c>
      <c r="K11" s="117">
        <v>0</v>
      </c>
      <c r="L11" s="127">
        <f>-L15</f>
        <v>-114285.71428571429</v>
      </c>
      <c r="M11" s="127">
        <f>L11-M15</f>
        <v>-251428.57142857142</v>
      </c>
      <c r="N11" s="140">
        <f>M11-N15</f>
        <v>-388571.42857142852</v>
      </c>
      <c r="O11" s="127">
        <f>N11</f>
        <v>-388571.42857142852</v>
      </c>
      <c r="P11" s="140">
        <f>O11-P15+O12/3</f>
        <v>-525714.28571428568</v>
      </c>
      <c r="Q11" s="127">
        <f>P11</f>
        <v>-525714.28571428568</v>
      </c>
      <c r="R11" s="127">
        <f>Q11-R15</f>
        <v>-662857.14285714284</v>
      </c>
    </row>
    <row r="12" spans="1:18" s="117" customFormat="1" x14ac:dyDescent="0.2">
      <c r="A12" s="1" t="s">
        <v>980</v>
      </c>
      <c r="B12" s="1"/>
      <c r="C12" s="1"/>
      <c r="D12" s="1"/>
      <c r="E12" s="1"/>
      <c r="F12" s="1"/>
      <c r="G12" s="1"/>
      <c r="H12" s="1"/>
      <c r="J12" s="117" t="s">
        <v>718</v>
      </c>
      <c r="K12" s="117">
        <v>0</v>
      </c>
      <c r="L12" s="117">
        <v>0</v>
      </c>
      <c r="N12" s="139"/>
      <c r="O12" s="127">
        <f>O13-N13</f>
        <v>-131428.57142857148</v>
      </c>
      <c r="P12" s="140">
        <f>O12*2/3</f>
        <v>-87619.047619047647</v>
      </c>
      <c r="Q12" s="127">
        <v>0</v>
      </c>
      <c r="R12" s="127">
        <v>0</v>
      </c>
    </row>
    <row r="13" spans="1:18" s="117" customFormat="1" x14ac:dyDescent="0.2">
      <c r="A13" s="1" t="s">
        <v>981</v>
      </c>
      <c r="B13" s="1"/>
      <c r="C13" s="1"/>
      <c r="D13" s="1"/>
      <c r="E13" s="1"/>
      <c r="F13" s="1"/>
      <c r="G13" s="1"/>
      <c r="H13" s="1"/>
      <c r="J13" s="117" t="s">
        <v>99</v>
      </c>
      <c r="K13" s="127">
        <f>K10</f>
        <v>800000</v>
      </c>
      <c r="L13" s="127">
        <f>L10+L11+L12</f>
        <v>685714.28571428568</v>
      </c>
      <c r="M13" s="127">
        <f>M10+M11+M12</f>
        <v>548571.42857142864</v>
      </c>
      <c r="N13" s="140">
        <f>N10+N11+N12</f>
        <v>411428.57142857148</v>
      </c>
      <c r="O13" s="137">
        <f>L28</f>
        <v>280000</v>
      </c>
      <c r="P13" s="140">
        <f>P10+P11+P12</f>
        <v>186666.66666666669</v>
      </c>
      <c r="Q13" s="137">
        <f>Q10+Q11+Q12</f>
        <v>274285.71428571432</v>
      </c>
      <c r="R13" s="137">
        <f>R10+R11+R12</f>
        <v>137142.85714285716</v>
      </c>
    </row>
    <row r="14" spans="1:18" s="117" customFormat="1" x14ac:dyDescent="0.2">
      <c r="A14" s="1" t="s">
        <v>982</v>
      </c>
      <c r="B14" s="1"/>
      <c r="C14" s="1"/>
      <c r="D14" s="1"/>
      <c r="E14" s="1"/>
      <c r="F14" s="1"/>
      <c r="G14" s="1"/>
      <c r="H14" s="1"/>
      <c r="N14" s="139"/>
      <c r="P14" s="139"/>
    </row>
    <row r="15" spans="1:18" s="117" customFormat="1" x14ac:dyDescent="0.2">
      <c r="A15" s="1"/>
      <c r="B15" s="1"/>
      <c r="C15" s="1"/>
      <c r="D15" s="1"/>
      <c r="E15" s="1"/>
      <c r="F15" s="1"/>
      <c r="G15" s="1"/>
      <c r="H15" s="1"/>
      <c r="J15" s="117" t="s">
        <v>100</v>
      </c>
      <c r="L15" s="127">
        <f>K10/7</f>
        <v>114285.71428571429</v>
      </c>
      <c r="M15" s="127">
        <f>L13/5</f>
        <v>137142.85714285713</v>
      </c>
      <c r="N15" s="140">
        <f>M15</f>
        <v>137142.85714285713</v>
      </c>
      <c r="O15" s="127">
        <f>N15</f>
        <v>137142.85714285713</v>
      </c>
      <c r="P15" s="140">
        <f>O13/3</f>
        <v>93333.333333333328</v>
      </c>
      <c r="Q15" s="127">
        <f>P15</f>
        <v>93333.333333333328</v>
      </c>
      <c r="R15" s="127">
        <f>Q13/2</f>
        <v>137142.85714285716</v>
      </c>
    </row>
    <row r="16" spans="1:18" s="117" customFormat="1" x14ac:dyDescent="0.2">
      <c r="A16" s="1" t="s">
        <v>983</v>
      </c>
      <c r="B16" s="1"/>
      <c r="C16" s="1"/>
      <c r="D16" s="1"/>
      <c r="E16" s="1"/>
      <c r="F16" s="1"/>
      <c r="G16" s="1"/>
      <c r="H16" s="1"/>
      <c r="J16" s="117" t="s">
        <v>891</v>
      </c>
      <c r="N16" s="139"/>
      <c r="O16" s="127">
        <f>-O12</f>
        <v>131428.57142857148</v>
      </c>
      <c r="P16" s="139"/>
      <c r="Q16" s="127"/>
      <c r="R16" s="127"/>
    </row>
    <row r="17" spans="1:18" s="117" customFormat="1" x14ac:dyDescent="0.2">
      <c r="A17" s="117" t="s">
        <v>999</v>
      </c>
      <c r="B17" s="1"/>
      <c r="C17" s="1"/>
      <c r="D17" s="1"/>
      <c r="E17" s="1"/>
      <c r="F17" s="1"/>
      <c r="G17" s="1"/>
      <c r="H17" s="1"/>
      <c r="J17" s="117" t="s">
        <v>892</v>
      </c>
      <c r="N17" s="139"/>
      <c r="P17" s="139"/>
      <c r="Q17" s="127">
        <f>-P12</f>
        <v>87619.047619047647</v>
      </c>
      <c r="R17" s="127"/>
    </row>
    <row r="18" spans="1:18" s="117" customFormat="1" x14ac:dyDescent="0.2">
      <c r="A18" s="1" t="s">
        <v>985</v>
      </c>
      <c r="B18" s="1"/>
      <c r="C18" s="1"/>
      <c r="D18" s="1"/>
      <c r="E18" s="1"/>
      <c r="F18" s="1"/>
      <c r="G18" s="1"/>
      <c r="H18" s="1"/>
    </row>
    <row r="19" spans="1:18" s="117" customFormat="1" x14ac:dyDescent="0.2">
      <c r="A19" s="1" t="s">
        <v>986</v>
      </c>
      <c r="B19" s="1"/>
      <c r="C19" s="1"/>
      <c r="D19" s="1"/>
      <c r="E19" s="1"/>
      <c r="F19" s="1"/>
      <c r="G19" s="1"/>
      <c r="H19" s="1"/>
      <c r="J19" s="117" t="s">
        <v>1000</v>
      </c>
      <c r="L19" s="126">
        <v>40908</v>
      </c>
      <c r="M19" s="126">
        <v>41274</v>
      </c>
    </row>
    <row r="20" spans="1:18" s="117" customFormat="1" x14ac:dyDescent="0.2">
      <c r="A20" s="1"/>
      <c r="B20" s="1"/>
      <c r="C20" s="1"/>
      <c r="D20" s="1"/>
      <c r="E20" s="1"/>
      <c r="F20" s="1"/>
      <c r="G20" s="1"/>
      <c r="H20" s="1"/>
      <c r="L20" s="127">
        <v>60000</v>
      </c>
      <c r="M20" s="127">
        <v>0</v>
      </c>
    </row>
    <row r="21" spans="1:18" s="117" customFormat="1" x14ac:dyDescent="0.2">
      <c r="A21" s="1" t="s">
        <v>987</v>
      </c>
      <c r="B21" s="1"/>
      <c r="C21" s="1"/>
      <c r="D21" s="1"/>
      <c r="E21" s="1"/>
      <c r="F21" s="1"/>
      <c r="G21" s="1"/>
      <c r="H21" s="1"/>
      <c r="L21" s="127">
        <v>50000</v>
      </c>
      <c r="M21" s="127">
        <v>-20000</v>
      </c>
    </row>
    <row r="22" spans="1:18" s="117" customFormat="1" x14ac:dyDescent="0.2">
      <c r="A22" s="1" t="s">
        <v>988</v>
      </c>
      <c r="B22" s="1"/>
      <c r="C22" s="1"/>
      <c r="D22" s="1"/>
      <c r="E22" s="1"/>
      <c r="F22" s="1"/>
      <c r="G22" s="1"/>
      <c r="H22" s="1"/>
      <c r="L22" s="127">
        <v>40000</v>
      </c>
      <c r="M22" s="127"/>
    </row>
    <row r="23" spans="1:18" s="117" customFormat="1" x14ac:dyDescent="0.2">
      <c r="A23" s="1" t="s">
        <v>989</v>
      </c>
      <c r="B23" s="1"/>
      <c r="C23" s="1"/>
      <c r="D23" s="1"/>
      <c r="E23" s="1"/>
      <c r="F23" s="1"/>
      <c r="G23" s="1"/>
      <c r="H23" s="1"/>
    </row>
    <row r="24" spans="1:18" s="117" customFormat="1" x14ac:dyDescent="0.2">
      <c r="A24" s="1" t="s">
        <v>990</v>
      </c>
      <c r="B24" s="1"/>
      <c r="C24" s="1"/>
      <c r="D24" s="1"/>
      <c r="E24" s="1"/>
      <c r="F24" s="1"/>
      <c r="G24" s="1"/>
      <c r="H24" s="1"/>
      <c r="J24" s="117" t="s">
        <v>1001</v>
      </c>
      <c r="L24" s="136">
        <v>0.08</v>
      </c>
      <c r="M24" s="136">
        <v>0.08</v>
      </c>
    </row>
    <row r="25" spans="1:18" s="117" customFormat="1" x14ac:dyDescent="0.2">
      <c r="A25" s="1"/>
      <c r="B25" s="1"/>
      <c r="C25" s="1"/>
      <c r="D25" s="1"/>
      <c r="E25" s="1"/>
      <c r="F25" s="1"/>
      <c r="G25" s="1"/>
      <c r="H25" s="1"/>
    </row>
    <row r="26" spans="1:18" s="117" customFormat="1" x14ac:dyDescent="0.2">
      <c r="A26" s="1" t="s">
        <v>991</v>
      </c>
      <c r="B26" s="1"/>
      <c r="C26" s="1"/>
      <c r="D26" s="1"/>
      <c r="E26" s="1"/>
      <c r="F26" s="1"/>
      <c r="G26" s="1"/>
      <c r="H26" s="1"/>
      <c r="J26" s="117" t="s">
        <v>1002</v>
      </c>
      <c r="L26" s="127">
        <f>NPV(L24,L20:L22)</f>
        <v>130175.7862114515</v>
      </c>
      <c r="M26" s="127">
        <f>NPV(M24,M20:M22)</f>
        <v>-17146.776406035664</v>
      </c>
    </row>
    <row r="27" spans="1:18" s="117" customFormat="1" x14ac:dyDescent="0.2">
      <c r="A27" s="1" t="s">
        <v>992</v>
      </c>
      <c r="B27" s="1"/>
      <c r="C27" s="1"/>
      <c r="D27" s="1"/>
      <c r="E27" s="1"/>
      <c r="F27" s="1"/>
      <c r="G27" s="1"/>
      <c r="H27" s="1"/>
      <c r="J27" s="117" t="s">
        <v>957</v>
      </c>
      <c r="L27" s="127">
        <v>280000</v>
      </c>
      <c r="M27" s="127">
        <f>440000-30000</f>
        <v>410000</v>
      </c>
    </row>
    <row r="28" spans="1:18" s="117" customFormat="1" x14ac:dyDescent="0.2">
      <c r="A28" s="1" t="s">
        <v>993</v>
      </c>
      <c r="B28" s="1"/>
      <c r="C28" s="1"/>
      <c r="D28" s="1"/>
      <c r="E28" s="1"/>
      <c r="F28" s="1"/>
      <c r="G28" s="1"/>
      <c r="H28" s="1"/>
      <c r="J28" s="117" t="s">
        <v>1003</v>
      </c>
      <c r="L28" s="137">
        <f>MAX(L26:L27)</f>
        <v>280000</v>
      </c>
      <c r="M28" s="137">
        <f>MAX(M26:M27)</f>
        <v>410000</v>
      </c>
    </row>
    <row r="29" spans="1:18" s="117" customFormat="1" x14ac:dyDescent="0.2">
      <c r="A29" s="1" t="s">
        <v>994</v>
      </c>
      <c r="B29" s="1"/>
      <c r="C29" s="1"/>
      <c r="D29" s="143" t="s">
        <v>1004</v>
      </c>
      <c r="E29" s="1"/>
      <c r="F29" s="1"/>
      <c r="G29" s="1"/>
      <c r="H29" s="1"/>
    </row>
    <row r="30" spans="1:18" s="117" customFormat="1" x14ac:dyDescent="0.2">
      <c r="A30" s="1"/>
      <c r="B30" s="1"/>
      <c r="C30" s="1"/>
      <c r="D30" s="1"/>
      <c r="E30" s="1"/>
      <c r="F30" s="1"/>
      <c r="G30" s="1"/>
      <c r="H30" s="1"/>
    </row>
    <row r="31" spans="1:18" s="117" customFormat="1" x14ac:dyDescent="0.2">
      <c r="A31" s="1" t="s">
        <v>995</v>
      </c>
      <c r="B31" s="1"/>
      <c r="C31" s="1"/>
      <c r="D31" s="1"/>
      <c r="E31" s="1"/>
      <c r="F31" s="1"/>
      <c r="G31" s="1"/>
      <c r="H31" s="1"/>
    </row>
    <row r="32" spans="1:18" s="117" customFormat="1" x14ac:dyDescent="0.2">
      <c r="A32" s="1"/>
      <c r="B32" s="1"/>
      <c r="C32" s="1"/>
      <c r="D32" s="1"/>
      <c r="E32" s="1"/>
      <c r="F32" s="1"/>
      <c r="G32" s="1"/>
      <c r="H32" s="1"/>
    </row>
    <row r="33" spans="1:24" s="117" customFormat="1" x14ac:dyDescent="0.2">
      <c r="A33" s="1" t="s">
        <v>996</v>
      </c>
      <c r="B33" s="1"/>
      <c r="C33" s="1"/>
      <c r="D33" s="1"/>
      <c r="E33" s="1"/>
      <c r="F33" s="1"/>
      <c r="G33" s="1"/>
      <c r="H33" s="1"/>
    </row>
    <row r="34" spans="1:24" s="117" customFormat="1" x14ac:dyDescent="0.2"/>
    <row r="35" spans="1:24" s="117" customFormat="1" x14ac:dyDescent="0.2">
      <c r="A35" s="144" t="s">
        <v>1043</v>
      </c>
      <c r="B35" s="144"/>
      <c r="C35" s="144"/>
      <c r="D35" s="144"/>
      <c r="E35" s="144"/>
      <c r="F35" s="144"/>
      <c r="G35" s="144"/>
      <c r="H35" s="144"/>
    </row>
    <row r="36" spans="1:24" s="117" customFormat="1" x14ac:dyDescent="0.2">
      <c r="A36" s="117" t="s">
        <v>1005</v>
      </c>
    </row>
    <row r="37" spans="1:24" s="117" customFormat="1" x14ac:dyDescent="0.2">
      <c r="A37" s="117" t="s">
        <v>1006</v>
      </c>
    </row>
    <row r="38" spans="1:24" s="117" customFormat="1" x14ac:dyDescent="0.2">
      <c r="A38" s="117" t="s">
        <v>1007</v>
      </c>
    </row>
    <row r="39" spans="1:24" s="117" customFormat="1" x14ac:dyDescent="0.2">
      <c r="O39" s="130" t="s">
        <v>893</v>
      </c>
    </row>
    <row r="40" spans="1:24" s="117" customFormat="1" x14ac:dyDescent="0.2">
      <c r="A40" s="117" t="s">
        <v>1008</v>
      </c>
      <c r="J40" s="119" t="s">
        <v>1023</v>
      </c>
      <c r="L40" s="130"/>
      <c r="M40" s="152" t="s">
        <v>893</v>
      </c>
      <c r="N40" s="130" t="s">
        <v>659</v>
      </c>
      <c r="O40" s="130" t="s">
        <v>1052</v>
      </c>
      <c r="P40" s="152" t="s">
        <v>893</v>
      </c>
      <c r="Q40" s="130" t="s">
        <v>659</v>
      </c>
      <c r="S40" s="119" t="s">
        <v>1053</v>
      </c>
    </row>
    <row r="41" spans="1:24" s="117" customFormat="1" x14ac:dyDescent="0.2">
      <c r="A41" s="117" t="s">
        <v>1009</v>
      </c>
      <c r="K41" s="128">
        <v>39448</v>
      </c>
      <c r="L41" s="128">
        <v>39813</v>
      </c>
      <c r="M41" s="150">
        <v>40178</v>
      </c>
      <c r="N41" s="128">
        <v>40178</v>
      </c>
      <c r="O41" s="128">
        <v>40543</v>
      </c>
      <c r="P41" s="150">
        <v>40908</v>
      </c>
      <c r="Q41" s="128">
        <v>40908</v>
      </c>
      <c r="U41" s="128">
        <v>39813</v>
      </c>
      <c r="V41" s="128">
        <v>40178</v>
      </c>
      <c r="W41" s="128">
        <v>40543</v>
      </c>
      <c r="X41" s="128">
        <v>40908</v>
      </c>
    </row>
    <row r="42" spans="1:24" s="117" customFormat="1" x14ac:dyDescent="0.2">
      <c r="A42" s="117" t="s">
        <v>1010</v>
      </c>
      <c r="J42" s="117" t="s">
        <v>95</v>
      </c>
      <c r="K42" s="129">
        <v>5400</v>
      </c>
      <c r="L42" s="129">
        <f t="shared" ref="L42:Q42" si="1">K42</f>
        <v>5400</v>
      </c>
      <c r="M42" s="151">
        <f t="shared" si="1"/>
        <v>5400</v>
      </c>
      <c r="N42" s="129">
        <f t="shared" si="1"/>
        <v>5400</v>
      </c>
      <c r="O42" s="129">
        <f t="shared" si="1"/>
        <v>5400</v>
      </c>
      <c r="P42" s="151">
        <f t="shared" si="1"/>
        <v>5400</v>
      </c>
      <c r="Q42" s="129">
        <f t="shared" si="1"/>
        <v>5400</v>
      </c>
      <c r="S42" s="117" t="s">
        <v>99</v>
      </c>
      <c r="U42" s="129">
        <f>L45</f>
        <v>4320</v>
      </c>
      <c r="V42" s="129">
        <f>N45</f>
        <v>3000</v>
      </c>
      <c r="W42" s="129">
        <f>O45</f>
        <v>2000</v>
      </c>
      <c r="X42" s="129">
        <f>Q45</f>
        <v>1080</v>
      </c>
    </row>
    <row r="43" spans="1:24" s="117" customFormat="1" x14ac:dyDescent="0.2">
      <c r="A43" s="145" t="s">
        <v>1011</v>
      </c>
      <c r="B43" s="145"/>
      <c r="C43" s="145"/>
      <c r="D43" s="145"/>
      <c r="E43" s="145"/>
      <c r="F43" s="145"/>
      <c r="G43" s="145"/>
      <c r="H43" s="145"/>
      <c r="J43" s="117" t="s">
        <v>96</v>
      </c>
      <c r="K43" s="130">
        <v>0</v>
      </c>
      <c r="L43" s="130">
        <f>-L47</f>
        <v>-1080</v>
      </c>
      <c r="M43" s="152">
        <f>L43-M47</f>
        <v>-2160</v>
      </c>
      <c r="N43" s="130">
        <f>M43</f>
        <v>-2160</v>
      </c>
      <c r="O43" s="130">
        <f>N43-O47+N44/3</f>
        <v>-3240</v>
      </c>
      <c r="P43" s="152">
        <f>O43-P47+O44/2</f>
        <v>-4320</v>
      </c>
      <c r="Q43" s="130">
        <f>P43</f>
        <v>-4320</v>
      </c>
      <c r="S43" s="117" t="s">
        <v>1054</v>
      </c>
      <c r="U43" s="129">
        <f>5400*4/5</f>
        <v>4320</v>
      </c>
      <c r="V43" s="129">
        <f>5400*3/5</f>
        <v>3240</v>
      </c>
      <c r="W43" s="129">
        <f>5400*2/5</f>
        <v>2160</v>
      </c>
      <c r="X43" s="129">
        <f>5400*1/5</f>
        <v>1080</v>
      </c>
    </row>
    <row r="44" spans="1:24" s="117" customFormat="1" x14ac:dyDescent="0.2">
      <c r="A44" s="145" t="s">
        <v>1012</v>
      </c>
      <c r="B44" s="145"/>
      <c r="C44" s="145"/>
      <c r="D44" s="145"/>
      <c r="E44" s="145"/>
      <c r="F44" s="145"/>
      <c r="G44" s="145"/>
      <c r="H44" s="145"/>
      <c r="J44" s="117" t="s">
        <v>718</v>
      </c>
      <c r="K44" s="130">
        <v>0</v>
      </c>
      <c r="L44" s="130">
        <v>0</v>
      </c>
      <c r="M44" s="152">
        <v>0</v>
      </c>
      <c r="N44" s="129">
        <f>N45-M45</f>
        <v>-240</v>
      </c>
      <c r="O44" s="130">
        <f>N44*2/3</f>
        <v>-160</v>
      </c>
      <c r="P44" s="152">
        <f>O44*1/2</f>
        <v>-80</v>
      </c>
      <c r="Q44" s="129">
        <v>0</v>
      </c>
      <c r="S44" s="117" t="s">
        <v>1055</v>
      </c>
      <c r="U44" s="129">
        <f>U42-U43</f>
        <v>0</v>
      </c>
      <c r="V44" s="129">
        <f>V42-V43</f>
        <v>-240</v>
      </c>
      <c r="W44" s="129">
        <f>W42-W43</f>
        <v>-160</v>
      </c>
      <c r="X44" s="129">
        <f>X42-X43</f>
        <v>0</v>
      </c>
    </row>
    <row r="45" spans="1:24" s="117" customFormat="1" x14ac:dyDescent="0.2">
      <c r="A45" s="145" t="s">
        <v>1013</v>
      </c>
      <c r="B45" s="145"/>
      <c r="C45" s="145"/>
      <c r="D45" s="145"/>
      <c r="E45" s="145"/>
      <c r="F45" s="145"/>
      <c r="G45" s="145"/>
      <c r="H45" s="145"/>
      <c r="J45" s="117" t="s">
        <v>99</v>
      </c>
      <c r="K45" s="129">
        <f>K42</f>
        <v>5400</v>
      </c>
      <c r="L45" s="129">
        <f>L42+L43+L44</f>
        <v>4320</v>
      </c>
      <c r="M45" s="151">
        <f>M42+M43+M44</f>
        <v>3240</v>
      </c>
      <c r="N45" s="156">
        <f>L61</f>
        <v>3000</v>
      </c>
      <c r="O45" s="156">
        <f>SUM(O42:O44)</f>
        <v>2000</v>
      </c>
      <c r="P45" s="156">
        <f>SUM(P42:P44)</f>
        <v>1000</v>
      </c>
      <c r="Q45" s="156">
        <f>Q42+Q43+Q44</f>
        <v>1080</v>
      </c>
      <c r="S45" s="117" t="s">
        <v>1056</v>
      </c>
      <c r="U45" s="153">
        <v>0.36</v>
      </c>
      <c r="V45" s="153">
        <v>0.36</v>
      </c>
      <c r="W45" s="153">
        <v>0.36</v>
      </c>
      <c r="X45" s="153">
        <v>0.36</v>
      </c>
    </row>
    <row r="46" spans="1:24" s="117" customFormat="1" x14ac:dyDescent="0.2">
      <c r="A46" s="145" t="s">
        <v>1014</v>
      </c>
      <c r="B46" s="145"/>
      <c r="C46" s="145"/>
      <c r="D46" s="145"/>
      <c r="E46" s="145"/>
      <c r="F46" s="145"/>
      <c r="G46" s="145"/>
      <c r="H46" s="145"/>
      <c r="K46" s="130"/>
      <c r="L46" s="130"/>
      <c r="M46" s="152"/>
      <c r="N46" s="130"/>
      <c r="O46" s="130"/>
      <c r="P46" s="152"/>
      <c r="Q46" s="130"/>
      <c r="S46" s="157" t="s">
        <v>1057</v>
      </c>
      <c r="T46" s="157"/>
      <c r="U46" s="158">
        <v>0</v>
      </c>
      <c r="V46" s="158">
        <f>-V44*V45</f>
        <v>86.399999999999991</v>
      </c>
      <c r="W46" s="158">
        <f>-W44*W45</f>
        <v>57.599999999999994</v>
      </c>
      <c r="X46" s="158">
        <v>0</v>
      </c>
    </row>
    <row r="47" spans="1:24" s="117" customFormat="1" x14ac:dyDescent="0.2">
      <c r="A47" s="145" t="s">
        <v>1015</v>
      </c>
      <c r="B47" s="145"/>
      <c r="C47" s="145"/>
      <c r="D47" s="145"/>
      <c r="E47" s="145"/>
      <c r="F47" s="145"/>
      <c r="G47" s="145"/>
      <c r="H47" s="145"/>
      <c r="J47" s="117" t="s">
        <v>100</v>
      </c>
      <c r="K47" s="130"/>
      <c r="L47" s="130">
        <f>K45/5</f>
        <v>1080</v>
      </c>
      <c r="M47" s="152">
        <f>L47</f>
        <v>1080</v>
      </c>
      <c r="N47" s="130">
        <f>M47</f>
        <v>1080</v>
      </c>
      <c r="O47" s="130">
        <f>N45/3</f>
        <v>1000</v>
      </c>
      <c r="P47" s="152">
        <f>O47</f>
        <v>1000</v>
      </c>
      <c r="Q47" s="130"/>
      <c r="S47" s="119"/>
      <c r="T47" s="119"/>
      <c r="U47" s="119"/>
      <c r="V47" s="119"/>
      <c r="W47" s="119"/>
      <c r="X47" s="119"/>
    </row>
    <row r="48" spans="1:24" s="117" customFormat="1" x14ac:dyDescent="0.2">
      <c r="A48" s="145" t="s">
        <v>1016</v>
      </c>
      <c r="B48" s="145"/>
      <c r="C48" s="145"/>
      <c r="D48" s="145"/>
      <c r="E48" s="145"/>
      <c r="F48" s="145"/>
      <c r="G48" s="145"/>
      <c r="H48" s="145"/>
      <c r="K48" s="130"/>
      <c r="L48" s="130"/>
      <c r="M48" s="152"/>
      <c r="N48" s="130"/>
      <c r="O48" s="130"/>
      <c r="P48" s="152"/>
      <c r="Q48" s="130"/>
      <c r="S48" s="157" t="s">
        <v>1058</v>
      </c>
      <c r="T48" s="157"/>
      <c r="U48" s="157"/>
      <c r="V48" s="158">
        <f>V46-U46</f>
        <v>86.399999999999991</v>
      </c>
      <c r="W48" s="157"/>
      <c r="X48" s="157"/>
    </row>
    <row r="49" spans="1:24" s="117" customFormat="1" x14ac:dyDescent="0.2">
      <c r="A49" s="145" t="s">
        <v>1017</v>
      </c>
      <c r="B49" s="145"/>
      <c r="C49" s="145"/>
      <c r="D49" s="145"/>
      <c r="E49" s="145"/>
      <c r="F49" s="145"/>
      <c r="G49" s="145"/>
      <c r="H49" s="145"/>
      <c r="J49" s="117" t="s">
        <v>891</v>
      </c>
      <c r="K49" s="130"/>
      <c r="L49" s="130"/>
      <c r="M49" s="152"/>
      <c r="N49" s="129">
        <f>-N44</f>
        <v>240</v>
      </c>
      <c r="O49" s="130"/>
      <c r="P49" s="152"/>
      <c r="Q49" s="129"/>
      <c r="S49" s="157" t="s">
        <v>1059</v>
      </c>
      <c r="T49" s="157"/>
      <c r="U49" s="157"/>
      <c r="V49" s="157"/>
      <c r="W49" s="158">
        <f>V46-W46</f>
        <v>28.799999999999997</v>
      </c>
      <c r="X49" s="158">
        <f>W46-X46</f>
        <v>57.599999999999994</v>
      </c>
    </row>
    <row r="50" spans="1:24" s="117" customFormat="1" x14ac:dyDescent="0.2">
      <c r="A50" s="145" t="s">
        <v>1018</v>
      </c>
      <c r="B50" s="145"/>
      <c r="C50" s="145"/>
      <c r="D50" s="145"/>
      <c r="E50" s="145"/>
      <c r="F50" s="145"/>
      <c r="G50" s="145"/>
      <c r="H50" s="145"/>
      <c r="J50" s="117" t="s">
        <v>892</v>
      </c>
      <c r="K50" s="130"/>
      <c r="L50" s="130"/>
      <c r="M50" s="152"/>
      <c r="N50" s="130"/>
      <c r="O50" s="130"/>
      <c r="P50" s="152"/>
      <c r="Q50" s="130">
        <f>-P44</f>
        <v>80</v>
      </c>
    </row>
    <row r="51" spans="1:24" s="117" customFormat="1" x14ac:dyDescent="0.2">
      <c r="A51" s="117" t="s">
        <v>1019</v>
      </c>
      <c r="L51" s="130"/>
    </row>
    <row r="52" spans="1:24" s="117" customFormat="1" x14ac:dyDescent="0.2">
      <c r="A52" s="117" t="s">
        <v>1020</v>
      </c>
      <c r="J52" s="125" t="s">
        <v>1047</v>
      </c>
      <c r="K52" s="125"/>
      <c r="L52" s="128">
        <v>40178</v>
      </c>
      <c r="M52" s="128">
        <v>40543</v>
      </c>
      <c r="N52" s="128">
        <v>40908</v>
      </c>
    </row>
    <row r="53" spans="1:24" s="117" customFormat="1" x14ac:dyDescent="0.2">
      <c r="A53" s="117" t="s">
        <v>1021</v>
      </c>
      <c r="J53" s="117" t="s">
        <v>1044</v>
      </c>
      <c r="L53" s="130">
        <f>B57-B58</f>
        <v>1150</v>
      </c>
      <c r="M53" s="130">
        <f>L54</f>
        <v>1000</v>
      </c>
      <c r="N53" s="130">
        <f>2500-1200</f>
        <v>1300</v>
      </c>
    </row>
    <row r="54" spans="1:24" s="117" customFormat="1" x14ac:dyDescent="0.2">
      <c r="A54" s="117" t="s">
        <v>1022</v>
      </c>
      <c r="J54" s="117" t="s">
        <v>1045</v>
      </c>
      <c r="L54" s="130">
        <f>C57-C58</f>
        <v>1000</v>
      </c>
      <c r="M54" s="130">
        <f>L55</f>
        <v>1205</v>
      </c>
    </row>
    <row r="55" spans="1:24" s="117" customFormat="1" x14ac:dyDescent="0.2">
      <c r="J55" s="117" t="s">
        <v>1046</v>
      </c>
      <c r="L55" s="130">
        <f>D57-D58</f>
        <v>1205</v>
      </c>
      <c r="M55" s="130"/>
    </row>
    <row r="56" spans="1:24" s="117" customFormat="1" x14ac:dyDescent="0.2">
      <c r="A56" s="117" t="s">
        <v>1023</v>
      </c>
      <c r="B56" s="146">
        <v>2010</v>
      </c>
      <c r="C56" s="146">
        <v>2011</v>
      </c>
      <c r="D56" s="146">
        <v>2012</v>
      </c>
      <c r="L56" s="130"/>
    </row>
    <row r="57" spans="1:24" s="117" customFormat="1" x14ac:dyDescent="0.2">
      <c r="A57" s="117" t="s">
        <v>1024</v>
      </c>
      <c r="B57" s="117">
        <v>2550</v>
      </c>
      <c r="C57" s="117">
        <v>2500</v>
      </c>
      <c r="D57" s="117">
        <v>2405</v>
      </c>
      <c r="J57" s="117" t="s">
        <v>1048</v>
      </c>
      <c r="L57" s="153">
        <v>7.0000000000000007E-2</v>
      </c>
      <c r="M57" s="153">
        <v>7.0000000000000007E-2</v>
      </c>
      <c r="N57" s="153">
        <v>7.0000000000000007E-2</v>
      </c>
    </row>
    <row r="58" spans="1:24" s="117" customFormat="1" x14ac:dyDescent="0.2">
      <c r="A58" s="117" t="s">
        <v>1025</v>
      </c>
      <c r="B58" s="117">
        <v>1400</v>
      </c>
      <c r="C58" s="117">
        <v>1500</v>
      </c>
      <c r="D58" s="117">
        <v>1200</v>
      </c>
      <c r="L58" s="130"/>
    </row>
    <row r="59" spans="1:24" s="117" customFormat="1" x14ac:dyDescent="0.2">
      <c r="A59" s="117" t="s">
        <v>1026</v>
      </c>
      <c r="B59" s="117">
        <v>360</v>
      </c>
      <c r="C59" s="117">
        <v>300</v>
      </c>
      <c r="D59" s="117">
        <v>250</v>
      </c>
      <c r="J59" s="117" t="s">
        <v>1049</v>
      </c>
      <c r="L59" s="154">
        <f>NPV(L57,L53:L55)</f>
        <v>2931.844025066875</v>
      </c>
      <c r="M59" s="154">
        <f>NPV(M57,M53:M55)</f>
        <v>1987.0731068215564</v>
      </c>
      <c r="N59" s="154">
        <f>NPV(N57,N53:N55)</f>
        <v>1214.9532710280373</v>
      </c>
    </row>
    <row r="60" spans="1:24" s="117" customFormat="1" x14ac:dyDescent="0.2">
      <c r="J60" s="117" t="s">
        <v>1050</v>
      </c>
      <c r="L60" s="130">
        <v>3000</v>
      </c>
      <c r="M60" s="130">
        <v>2000</v>
      </c>
      <c r="N60" s="130">
        <v>1150</v>
      </c>
    </row>
    <row r="61" spans="1:24" s="117" customFormat="1" x14ac:dyDescent="0.2">
      <c r="A61" s="117" t="s">
        <v>1027</v>
      </c>
      <c r="B61" s="118">
        <v>2010</v>
      </c>
      <c r="C61" s="118">
        <v>2011</v>
      </c>
      <c r="D61" s="118">
        <v>2012</v>
      </c>
      <c r="E61" s="118">
        <v>2013</v>
      </c>
      <c r="F61" s="118">
        <v>2014</v>
      </c>
      <c r="J61" s="117" t="s">
        <v>1051</v>
      </c>
      <c r="L61" s="155">
        <f>MAX(L59:L60)</f>
        <v>3000</v>
      </c>
      <c r="M61" s="155">
        <f>MAX(M59:M60)</f>
        <v>2000</v>
      </c>
      <c r="N61" s="155">
        <f>MAX(N59:N60)</f>
        <v>1214.9532710280373</v>
      </c>
    </row>
    <row r="62" spans="1:24" s="117" customFormat="1" x14ac:dyDescent="0.2">
      <c r="A62" s="117" t="s">
        <v>1024</v>
      </c>
      <c r="B62" s="117">
        <v>2200</v>
      </c>
      <c r="C62" s="117">
        <v>3400</v>
      </c>
      <c r="D62" s="117">
        <v>3400</v>
      </c>
      <c r="E62" s="117">
        <v>3200</v>
      </c>
      <c r="F62" s="117">
        <v>2800</v>
      </c>
    </row>
    <row r="63" spans="1:24" s="117" customFormat="1" ht="17" thickBot="1" x14ac:dyDescent="0.25">
      <c r="A63" s="117" t="s">
        <v>1025</v>
      </c>
      <c r="B63" s="117">
        <v>1300</v>
      </c>
      <c r="C63" s="117">
        <v>1500</v>
      </c>
      <c r="D63" s="117">
        <v>1600</v>
      </c>
      <c r="E63" s="117">
        <v>1550</v>
      </c>
      <c r="F63" s="117">
        <v>1650</v>
      </c>
      <c r="J63" s="119" t="s">
        <v>1027</v>
      </c>
    </row>
    <row r="64" spans="1:24" s="117" customFormat="1" x14ac:dyDescent="0.2">
      <c r="A64" s="117" t="s">
        <v>1026</v>
      </c>
      <c r="B64" s="117">
        <v>300</v>
      </c>
      <c r="C64" s="117">
        <v>600</v>
      </c>
      <c r="D64" s="117">
        <v>500</v>
      </c>
      <c r="E64" s="117">
        <v>500</v>
      </c>
      <c r="F64" s="117">
        <v>400</v>
      </c>
      <c r="L64" s="152" t="s">
        <v>893</v>
      </c>
      <c r="M64" s="130" t="s">
        <v>659</v>
      </c>
      <c r="N64" s="152" t="s">
        <v>1074</v>
      </c>
      <c r="O64" s="152" t="s">
        <v>893</v>
      </c>
      <c r="P64" s="165" t="s">
        <v>659</v>
      </c>
      <c r="Q64" s="152" t="s">
        <v>893</v>
      </c>
      <c r="R64" s="165" t="s">
        <v>659</v>
      </c>
      <c r="S64" s="130"/>
      <c r="T64" s="119" t="s">
        <v>1079</v>
      </c>
    </row>
    <row r="65" spans="1:25" s="117" customFormat="1" x14ac:dyDescent="0.2">
      <c r="K65" s="128">
        <v>39995</v>
      </c>
      <c r="L65" s="150">
        <v>40178</v>
      </c>
      <c r="M65" s="128">
        <v>40178</v>
      </c>
      <c r="N65" s="150">
        <v>40360</v>
      </c>
      <c r="O65" s="150">
        <v>40543</v>
      </c>
      <c r="P65" s="166">
        <v>40543</v>
      </c>
      <c r="Q65" s="150">
        <v>40908</v>
      </c>
      <c r="R65" s="166">
        <v>40908</v>
      </c>
      <c r="S65" s="173"/>
      <c r="V65" s="173"/>
      <c r="W65" s="128">
        <v>40178</v>
      </c>
      <c r="X65" s="128">
        <v>40543</v>
      </c>
      <c r="Y65" s="128">
        <v>40908</v>
      </c>
    </row>
    <row r="66" spans="1:25" s="117" customFormat="1" x14ac:dyDescent="0.2">
      <c r="A66" s="117" t="s">
        <v>1028</v>
      </c>
      <c r="J66" s="117" t="s">
        <v>95</v>
      </c>
      <c r="K66" s="129">
        <v>6000</v>
      </c>
      <c r="L66" s="151">
        <f>K83</f>
        <v>6294.5</v>
      </c>
      <c r="M66" s="129">
        <f>L66</f>
        <v>6294.5</v>
      </c>
      <c r="N66" s="151">
        <f>L83</f>
        <v>6552.5714285714294</v>
      </c>
      <c r="O66" s="151">
        <f>N66</f>
        <v>6552.5714285714294</v>
      </c>
      <c r="P66" s="167">
        <f>O66</f>
        <v>6552.5714285714294</v>
      </c>
      <c r="Q66" s="151">
        <f>P66</f>
        <v>6552.5714285714294</v>
      </c>
      <c r="R66" s="167">
        <f>Q66</f>
        <v>6552.5714285714294</v>
      </c>
      <c r="S66" s="129"/>
      <c r="T66" s="117" t="s">
        <v>99</v>
      </c>
      <c r="V66" s="129"/>
      <c r="W66" s="129">
        <f>M69</f>
        <v>6100</v>
      </c>
      <c r="X66" s="129">
        <f>P69</f>
        <v>5686.5459180029075</v>
      </c>
      <c r="Y66" s="129">
        <f>R69</f>
        <v>4365.9806227209983</v>
      </c>
    </row>
    <row r="67" spans="1:25" s="117" customFormat="1" x14ac:dyDescent="0.2">
      <c r="J67" s="117" t="s">
        <v>96</v>
      </c>
      <c r="K67" s="130">
        <v>0</v>
      </c>
      <c r="L67" s="152">
        <v>0</v>
      </c>
      <c r="M67" s="130">
        <v>0</v>
      </c>
      <c r="N67" s="152">
        <v>0</v>
      </c>
      <c r="O67" s="164">
        <f>-O71+N68/4.5*(6/12)</f>
        <v>-711.39682539682542</v>
      </c>
      <c r="P67" s="168">
        <f>O67</f>
        <v>-711.39682539682542</v>
      </c>
      <c r="Q67" s="164">
        <f>P67-Q71+P68/4</f>
        <v>-2171.6904761904766</v>
      </c>
      <c r="R67" s="168">
        <f>Q67</f>
        <v>-2171.6904761904766</v>
      </c>
      <c r="S67" s="154"/>
      <c r="T67" s="117" t="s">
        <v>1054</v>
      </c>
      <c r="V67" s="129"/>
      <c r="W67" s="129">
        <f>M66</f>
        <v>6294.5</v>
      </c>
      <c r="X67" s="129">
        <f>N66*4/4.5</f>
        <v>5824.5079365079373</v>
      </c>
      <c r="Y67" s="129">
        <f>O66*3/4.5</f>
        <v>4368.3809523809532</v>
      </c>
    </row>
    <row r="68" spans="1:25" s="117" customFormat="1" x14ac:dyDescent="0.2">
      <c r="A68" s="147" t="s">
        <v>1029</v>
      </c>
      <c r="J68" s="117" t="s">
        <v>718</v>
      </c>
      <c r="K68" s="130">
        <v>0</v>
      </c>
      <c r="L68" s="152">
        <v>0</v>
      </c>
      <c r="M68" s="129">
        <f>M69-M66</f>
        <v>-194.5</v>
      </c>
      <c r="N68" s="151">
        <f>M68</f>
        <v>-194.5</v>
      </c>
      <c r="O68" s="164">
        <f>N68*4/4.5</f>
        <v>-172.88888888888889</v>
      </c>
      <c r="P68" s="168">
        <f>O68+P74</f>
        <v>-154.62868517169701</v>
      </c>
      <c r="Q68" s="151">
        <f>P68*3/4</f>
        <v>-115.97151387877275</v>
      </c>
      <c r="R68" s="168">
        <f>Q68+R74</f>
        <v>-14.900329659954338</v>
      </c>
      <c r="S68" s="154"/>
      <c r="T68" s="117" t="s">
        <v>1055</v>
      </c>
      <c r="V68" s="129"/>
      <c r="W68" s="129">
        <f>W66-W67</f>
        <v>-194.5</v>
      </c>
      <c r="X68" s="129">
        <f>X66-X67</f>
        <v>-137.96201850502985</v>
      </c>
      <c r="Y68" s="129">
        <f>Y66-Y67</f>
        <v>-2.4003296599548776</v>
      </c>
    </row>
    <row r="69" spans="1:25" s="117" customFormat="1" x14ac:dyDescent="0.2">
      <c r="A69" s="147" t="s">
        <v>1030</v>
      </c>
      <c r="J69" s="117" t="s">
        <v>99</v>
      </c>
      <c r="K69" s="129">
        <f>K66</f>
        <v>6000</v>
      </c>
      <c r="L69" s="129">
        <f>L66</f>
        <v>6294.5</v>
      </c>
      <c r="M69" s="156">
        <f>K106</f>
        <v>6100</v>
      </c>
      <c r="N69" s="156">
        <f>N66+N67+N68</f>
        <v>6358.0714285714294</v>
      </c>
      <c r="O69" s="156">
        <f>SUM(O66:O68)</f>
        <v>5668.2857142857156</v>
      </c>
      <c r="P69" s="169">
        <f>L106</f>
        <v>5686.5459180029075</v>
      </c>
      <c r="Q69" s="156">
        <f>Q66+Q67+Q68</f>
        <v>4264.9094385021799</v>
      </c>
      <c r="R69" s="169">
        <f>M106</f>
        <v>4365.9806227209983</v>
      </c>
      <c r="S69" s="129"/>
      <c r="T69" s="117" t="s">
        <v>1056</v>
      </c>
      <c r="V69" s="153"/>
      <c r="W69" s="153">
        <v>0.36</v>
      </c>
      <c r="X69" s="153">
        <v>0.36</v>
      </c>
      <c r="Y69" s="153">
        <v>0.36</v>
      </c>
    </row>
    <row r="70" spans="1:25" s="117" customFormat="1" x14ac:dyDescent="0.2">
      <c r="A70" s="147" t="s">
        <v>1031</v>
      </c>
      <c r="K70" s="130"/>
      <c r="L70" s="130"/>
      <c r="M70" s="130"/>
      <c r="N70" s="130"/>
      <c r="O70" s="130"/>
      <c r="P70" s="170"/>
      <c r="Q70" s="130"/>
      <c r="R70" s="170"/>
      <c r="S70" s="130"/>
      <c r="T70" s="157" t="s">
        <v>1057</v>
      </c>
      <c r="U70" s="157"/>
      <c r="V70" s="158"/>
      <c r="W70" s="174">
        <f>-W68*W69</f>
        <v>70.02</v>
      </c>
      <c r="X70" s="174">
        <f>-X68*X69</f>
        <v>49.666326661810743</v>
      </c>
      <c r="Y70" s="174">
        <f>-Y68*Y69</f>
        <v>0.86411867758375593</v>
      </c>
    </row>
    <row r="71" spans="1:25" s="117" customFormat="1" x14ac:dyDescent="0.2">
      <c r="J71" s="117" t="s">
        <v>100</v>
      </c>
      <c r="K71" s="159"/>
      <c r="L71" s="159"/>
      <c r="M71" s="159"/>
      <c r="N71" s="159"/>
      <c r="O71" s="129">
        <f>(N69-150)/4.5*(6/12)</f>
        <v>689.78571428571433</v>
      </c>
      <c r="P71" s="167">
        <f>O71</f>
        <v>689.78571428571433</v>
      </c>
      <c r="Q71" s="154">
        <f>P69/4</f>
        <v>1421.6364795007269</v>
      </c>
      <c r="R71" s="167">
        <f>Q71</f>
        <v>1421.6364795007269</v>
      </c>
      <c r="S71" s="154"/>
      <c r="T71" s="119"/>
      <c r="U71" s="119"/>
      <c r="V71" s="119"/>
      <c r="W71" s="175"/>
      <c r="X71" s="175"/>
      <c r="Y71" s="175"/>
    </row>
    <row r="72" spans="1:25" s="117" customFormat="1" x14ac:dyDescent="0.2">
      <c r="A72" s="117" t="s">
        <v>1023</v>
      </c>
      <c r="B72" s="146">
        <v>2012</v>
      </c>
      <c r="D72" s="117" t="s">
        <v>1027</v>
      </c>
      <c r="E72" s="146">
        <v>2012</v>
      </c>
      <c r="F72" s="146">
        <v>2013</v>
      </c>
      <c r="G72" s="146">
        <v>2014</v>
      </c>
      <c r="K72" s="130"/>
      <c r="L72" s="130"/>
      <c r="M72" s="130"/>
      <c r="N72" s="130"/>
      <c r="O72" s="130"/>
      <c r="P72" s="170"/>
      <c r="Q72" s="130"/>
      <c r="R72" s="170"/>
      <c r="S72" s="130"/>
      <c r="T72" s="157" t="s">
        <v>1058</v>
      </c>
      <c r="U72" s="157"/>
      <c r="V72" s="157"/>
      <c r="W72" s="174">
        <f>W70-V70</f>
        <v>70.02</v>
      </c>
      <c r="X72" s="176"/>
      <c r="Y72" s="176"/>
    </row>
    <row r="73" spans="1:25" s="117" customFormat="1" x14ac:dyDescent="0.2">
      <c r="A73" s="117" t="s">
        <v>1024</v>
      </c>
      <c r="B73" s="117">
        <v>2500</v>
      </c>
      <c r="D73" s="117" t="s">
        <v>1024</v>
      </c>
      <c r="E73" s="117">
        <v>3460</v>
      </c>
      <c r="F73" s="117">
        <v>3250</v>
      </c>
      <c r="G73" s="117">
        <v>2900</v>
      </c>
      <c r="J73" s="117" t="s">
        <v>891</v>
      </c>
      <c r="K73" s="130"/>
      <c r="L73" s="130"/>
      <c r="M73" s="129">
        <f>-M68</f>
        <v>194.5</v>
      </c>
      <c r="N73" s="129"/>
      <c r="O73" s="130"/>
      <c r="P73" s="170"/>
      <c r="Q73" s="129"/>
      <c r="R73" s="167"/>
      <c r="S73" s="130"/>
      <c r="T73" s="157" t="s">
        <v>1059</v>
      </c>
      <c r="U73" s="157"/>
      <c r="V73" s="157"/>
      <c r="W73" s="176"/>
      <c r="X73" s="174">
        <f>W70-X70</f>
        <v>20.353673338189253</v>
      </c>
      <c r="Y73" s="174">
        <f>X70-Y70</f>
        <v>48.802207984226989</v>
      </c>
    </row>
    <row r="74" spans="1:25" s="117" customFormat="1" x14ac:dyDescent="0.2">
      <c r="A74" s="117" t="s">
        <v>1025</v>
      </c>
      <c r="B74" s="117">
        <v>1200</v>
      </c>
      <c r="D74" s="117" t="s">
        <v>1025</v>
      </c>
      <c r="E74" s="117">
        <v>1600</v>
      </c>
      <c r="F74" s="117">
        <v>1550</v>
      </c>
      <c r="G74" s="117">
        <v>1650</v>
      </c>
      <c r="J74" s="117" t="s">
        <v>892</v>
      </c>
      <c r="K74" s="130"/>
      <c r="L74" s="130"/>
      <c r="M74" s="130"/>
      <c r="N74" s="130"/>
      <c r="O74" s="130"/>
      <c r="P74" s="167">
        <f>P69-O69</f>
        <v>18.260203717191871</v>
      </c>
      <c r="Q74" s="130"/>
      <c r="R74" s="167">
        <f>R69-Q69</f>
        <v>101.07118421881842</v>
      </c>
      <c r="S74" s="130"/>
    </row>
    <row r="75" spans="1:25" s="117" customFormat="1" x14ac:dyDescent="0.2">
      <c r="A75" s="117" t="s">
        <v>1026</v>
      </c>
      <c r="B75" s="117">
        <v>340</v>
      </c>
      <c r="D75" s="117" t="s">
        <v>1026</v>
      </c>
      <c r="E75" s="117">
        <v>520</v>
      </c>
      <c r="F75" s="117">
        <v>530</v>
      </c>
      <c r="G75" s="117">
        <v>470</v>
      </c>
      <c r="P75" s="171"/>
      <c r="R75" s="171"/>
      <c r="S75" s="130"/>
    </row>
    <row r="76" spans="1:25" s="117" customFormat="1" ht="17" thickBot="1" x14ac:dyDescent="0.25">
      <c r="J76" s="117" t="s">
        <v>1075</v>
      </c>
      <c r="O76" s="163">
        <f>M88</f>
        <v>208.07142857142844</v>
      </c>
      <c r="P76" s="172">
        <f>O76</f>
        <v>208.07142857142844</v>
      </c>
      <c r="Q76" s="154">
        <f>P88</f>
        <v>201.85714285714283</v>
      </c>
      <c r="R76" s="172">
        <f>Q76</f>
        <v>201.85714285714283</v>
      </c>
      <c r="S76" s="130"/>
    </row>
    <row r="77" spans="1:25" s="117" customFormat="1" x14ac:dyDescent="0.2">
      <c r="A77" s="117" t="s">
        <v>1032</v>
      </c>
    </row>
    <row r="78" spans="1:25" s="117" customFormat="1" x14ac:dyDescent="0.2">
      <c r="C78" s="146">
        <v>2009</v>
      </c>
      <c r="D78" s="146">
        <v>2010</v>
      </c>
      <c r="E78" s="146">
        <v>2011</v>
      </c>
      <c r="J78" s="117" t="s">
        <v>1060</v>
      </c>
    </row>
    <row r="79" spans="1:25" s="117" customFormat="1" x14ac:dyDescent="0.2">
      <c r="A79" s="117" t="s">
        <v>1023</v>
      </c>
      <c r="C79" s="117">
        <v>3000</v>
      </c>
      <c r="D79" s="117">
        <v>2000</v>
      </c>
      <c r="E79" s="117">
        <v>1150</v>
      </c>
      <c r="K79" s="128">
        <v>40178</v>
      </c>
      <c r="L79" s="128">
        <v>40360</v>
      </c>
    </row>
    <row r="80" spans="1:25" s="117" customFormat="1" x14ac:dyDescent="0.2">
      <c r="A80" s="117" t="s">
        <v>1027</v>
      </c>
      <c r="C80" s="117">
        <v>6100</v>
      </c>
      <c r="D80" s="117">
        <v>5550</v>
      </c>
      <c r="E80" s="117">
        <v>4250</v>
      </c>
      <c r="J80" s="117" t="s">
        <v>1061</v>
      </c>
      <c r="K80" s="129">
        <v>6000</v>
      </c>
      <c r="L80" s="129">
        <f>K83</f>
        <v>6294.5</v>
      </c>
    </row>
    <row r="81" spans="1:18" s="117" customFormat="1" x14ac:dyDescent="0.2">
      <c r="J81" s="117" t="s">
        <v>1062</v>
      </c>
      <c r="K81" s="130">
        <f>100*6/12</f>
        <v>50</v>
      </c>
      <c r="L81" s="130">
        <f>K81</f>
        <v>50</v>
      </c>
    </row>
    <row r="82" spans="1:18" s="117" customFormat="1" x14ac:dyDescent="0.2">
      <c r="A82" s="117" t="s">
        <v>1033</v>
      </c>
      <c r="J82" s="117" t="s">
        <v>1063</v>
      </c>
      <c r="K82" s="129">
        <f>K88</f>
        <v>244.5</v>
      </c>
      <c r="L82" s="129">
        <f>L88</f>
        <v>208.0714285714289</v>
      </c>
    </row>
    <row r="83" spans="1:18" s="117" customFormat="1" x14ac:dyDescent="0.2">
      <c r="J83" s="117" t="s">
        <v>1064</v>
      </c>
      <c r="K83" s="156">
        <f>SUM(K80:K82)</f>
        <v>6294.5</v>
      </c>
      <c r="L83" s="156">
        <f>SUM(L80:L82)</f>
        <v>6552.5714285714294</v>
      </c>
    </row>
    <row r="84" spans="1:18" s="117" customFormat="1" x14ac:dyDescent="0.2">
      <c r="A84" s="125" t="s">
        <v>656</v>
      </c>
      <c r="B84" s="125" t="s">
        <v>1034</v>
      </c>
      <c r="K84" s="130"/>
      <c r="M84" s="130" t="s">
        <v>364</v>
      </c>
    </row>
    <row r="85" spans="1:18" s="117" customFormat="1" x14ac:dyDescent="0.2">
      <c r="A85" s="126">
        <v>39995</v>
      </c>
      <c r="B85" s="117">
        <v>3.5</v>
      </c>
      <c r="J85" s="117" t="s">
        <v>1065</v>
      </c>
      <c r="K85" s="128">
        <v>40178</v>
      </c>
      <c r="L85" s="128">
        <v>40360</v>
      </c>
      <c r="M85" s="128">
        <v>40543</v>
      </c>
    </row>
    <row r="86" spans="1:18" s="117" customFormat="1" x14ac:dyDescent="0.2">
      <c r="A86" s="126">
        <v>40178</v>
      </c>
      <c r="B86" s="117">
        <v>3.6749999999999998</v>
      </c>
      <c r="J86" s="126" t="s">
        <v>1072</v>
      </c>
      <c r="K86" s="129">
        <f>50%*K80</f>
        <v>3000</v>
      </c>
      <c r="L86" s="129">
        <f>K89</f>
        <v>3244.5</v>
      </c>
      <c r="M86" s="129">
        <f>L89</f>
        <v>3257.1428571428573</v>
      </c>
      <c r="O86" s="117" t="s">
        <v>1076</v>
      </c>
    </row>
    <row r="87" spans="1:18" s="117" customFormat="1" x14ac:dyDescent="0.2">
      <c r="A87" s="126">
        <v>40360</v>
      </c>
      <c r="B87" s="117">
        <v>3.8</v>
      </c>
      <c r="J87" s="117" t="s">
        <v>1066</v>
      </c>
      <c r="K87" s="130">
        <v>0</v>
      </c>
      <c r="L87" s="162">
        <f>-6%*3000*B87/B85</f>
        <v>-195.42857142857142</v>
      </c>
      <c r="M87" s="130">
        <v>0</v>
      </c>
      <c r="O87" s="117" t="s">
        <v>1077</v>
      </c>
    </row>
    <row r="88" spans="1:18" s="117" customFormat="1" x14ac:dyDescent="0.2">
      <c r="A88" s="126">
        <v>40543</v>
      </c>
      <c r="B88" s="117">
        <v>3.9249999999999998</v>
      </c>
      <c r="I88" s="117" t="s">
        <v>1068</v>
      </c>
      <c r="J88" s="117" t="s">
        <v>1067</v>
      </c>
      <c r="K88" s="161">
        <f>K89-K86-K87</f>
        <v>244.5</v>
      </c>
      <c r="L88" s="161">
        <f>L89-L87-L86</f>
        <v>208.0714285714289</v>
      </c>
      <c r="M88" s="163">
        <f>M89-M87-M86</f>
        <v>208.07142857142844</v>
      </c>
      <c r="P88" s="154">
        <f>3000*3.925/3.5*6%</f>
        <v>201.85714285714283</v>
      </c>
      <c r="R88" s="117" t="s">
        <v>1078</v>
      </c>
    </row>
    <row r="89" spans="1:18" s="117" customFormat="1" x14ac:dyDescent="0.2">
      <c r="J89" s="126" t="s">
        <v>1073</v>
      </c>
      <c r="K89" s="129">
        <f>3000*(1+6%/2)*B86/B85</f>
        <v>3244.5</v>
      </c>
      <c r="L89" s="129">
        <f>3000*B87/B85</f>
        <v>3257.1428571428573</v>
      </c>
      <c r="M89" s="129">
        <f>3000*(1+6%/2)*B88/B85</f>
        <v>3465.2142857142858</v>
      </c>
    </row>
    <row r="90" spans="1:18" s="117" customFormat="1" x14ac:dyDescent="0.2">
      <c r="A90" s="117" t="s">
        <v>1035</v>
      </c>
    </row>
    <row r="91" spans="1:18" s="117" customFormat="1" x14ac:dyDescent="0.2">
      <c r="A91" s="148" t="s">
        <v>1036</v>
      </c>
      <c r="J91" s="119" t="s">
        <v>1069</v>
      </c>
    </row>
    <row r="92" spans="1:18" s="117" customFormat="1" x14ac:dyDescent="0.2">
      <c r="A92" s="149" t="s">
        <v>1037</v>
      </c>
      <c r="B92" s="149"/>
      <c r="C92" s="149"/>
      <c r="D92" s="149"/>
    </row>
    <row r="93" spans="1:18" s="117" customFormat="1" x14ac:dyDescent="0.2">
      <c r="A93" s="117" t="s">
        <v>1038</v>
      </c>
      <c r="J93" s="117" t="s">
        <v>1070</v>
      </c>
    </row>
    <row r="94" spans="1:18" s="117" customFormat="1" x14ac:dyDescent="0.2">
      <c r="A94" s="117" t="s">
        <v>1039</v>
      </c>
      <c r="K94" s="141">
        <v>40178</v>
      </c>
      <c r="L94" s="128">
        <v>40543</v>
      </c>
      <c r="M94" s="128">
        <v>40908</v>
      </c>
    </row>
    <row r="95" spans="1:18" s="117" customFormat="1" x14ac:dyDescent="0.2">
      <c r="A95" s="117" t="s">
        <v>1040</v>
      </c>
      <c r="K95" s="130">
        <f>2200-1300</f>
        <v>900</v>
      </c>
      <c r="L95" s="130">
        <f>3400-1500</f>
        <v>1900</v>
      </c>
      <c r="M95" s="130">
        <f>3460-1600</f>
        <v>1860</v>
      </c>
    </row>
    <row r="96" spans="1:18" s="117" customFormat="1" x14ac:dyDescent="0.2">
      <c r="K96" s="130">
        <f>3400-1500</f>
        <v>1900</v>
      </c>
      <c r="L96" s="130">
        <f>3400-1600</f>
        <v>1800</v>
      </c>
      <c r="M96" s="130">
        <f>3250-1550</f>
        <v>1700</v>
      </c>
    </row>
    <row r="97" spans="1:23" s="117" customFormat="1" x14ac:dyDescent="0.2">
      <c r="A97" s="117" t="s">
        <v>1041</v>
      </c>
      <c r="K97" s="130">
        <f>3400-1600</f>
        <v>1800</v>
      </c>
      <c r="L97" s="130">
        <f>3200-1550</f>
        <v>1650</v>
      </c>
      <c r="M97" s="130">
        <f>2900-1650+150</f>
        <v>1400</v>
      </c>
    </row>
    <row r="98" spans="1:23" s="117" customFormat="1" x14ac:dyDescent="0.2">
      <c r="A98" s="117" t="s">
        <v>1042</v>
      </c>
      <c r="K98" s="130">
        <f>3200-1550</f>
        <v>1650</v>
      </c>
      <c r="L98" s="130">
        <f>2800-1650+150</f>
        <v>1300</v>
      </c>
    </row>
    <row r="99" spans="1:23" x14ac:dyDescent="0.2">
      <c r="I99" s="117"/>
      <c r="J99" s="117"/>
      <c r="K99" s="130">
        <f>2800-1650</f>
        <v>1150</v>
      </c>
      <c r="L99" s="130"/>
      <c r="M99" s="117"/>
      <c r="N99" s="117"/>
      <c r="O99" s="117"/>
      <c r="P99" s="117"/>
      <c r="Q99" s="117"/>
      <c r="R99" s="117"/>
      <c r="S99" s="117"/>
      <c r="T99" s="117"/>
      <c r="U99" s="117"/>
      <c r="V99" s="117"/>
      <c r="W99" s="117"/>
    </row>
    <row r="100" spans="1:23" x14ac:dyDescent="0.2">
      <c r="I100" s="117"/>
      <c r="J100" s="117"/>
      <c r="K100" s="117"/>
      <c r="L100" s="117"/>
      <c r="M100" s="117"/>
      <c r="N100" s="117"/>
      <c r="O100" s="117"/>
      <c r="P100" s="117"/>
      <c r="Q100" s="117"/>
      <c r="R100" s="117"/>
      <c r="S100" s="117"/>
      <c r="T100" s="117"/>
      <c r="U100" s="117"/>
      <c r="V100" s="117"/>
      <c r="W100" s="117"/>
    </row>
    <row r="101" spans="1:23" x14ac:dyDescent="0.2">
      <c r="J101" s="117" t="s">
        <v>966</v>
      </c>
      <c r="K101" s="153">
        <v>7.0000000000000007E-2</v>
      </c>
      <c r="L101" s="153">
        <v>7.0000000000000007E-2</v>
      </c>
      <c r="M101" s="153">
        <v>7.0000000000000007E-2</v>
      </c>
      <c r="N101" s="153"/>
      <c r="O101" s="117"/>
    </row>
    <row r="102" spans="1:23" x14ac:dyDescent="0.2">
      <c r="J102" s="117"/>
      <c r="K102" s="117"/>
      <c r="L102" s="117"/>
      <c r="M102" s="117"/>
      <c r="N102" s="117"/>
      <c r="O102" s="117"/>
    </row>
    <row r="103" spans="1:23" x14ac:dyDescent="0.2">
      <c r="J103" s="117" t="s">
        <v>1071</v>
      </c>
      <c r="K103" s="154">
        <f>NPV(K101,K95:K99)</f>
        <v>6048.7024637343729</v>
      </c>
      <c r="L103" s="154">
        <f>NPV(L101,L95:L99)</f>
        <v>5686.5459180029075</v>
      </c>
      <c r="M103" s="154">
        <f>NPV(M101,M95:M99)</f>
        <v>4365.9806227209983</v>
      </c>
      <c r="N103" s="117"/>
      <c r="O103" s="117"/>
    </row>
    <row r="104" spans="1:23" x14ac:dyDescent="0.2">
      <c r="J104" s="117" t="s">
        <v>706</v>
      </c>
      <c r="K104" s="130">
        <v>6100</v>
      </c>
      <c r="L104" s="130">
        <f>D80</f>
        <v>5550</v>
      </c>
      <c r="M104" s="130">
        <v>4250</v>
      </c>
      <c r="N104" s="117"/>
      <c r="O104" s="117"/>
    </row>
    <row r="105" spans="1:23" x14ac:dyDescent="0.2">
      <c r="J105" s="117"/>
      <c r="K105" s="130"/>
      <c r="L105" s="130"/>
      <c r="M105" s="117"/>
      <c r="N105" s="117"/>
      <c r="O105" s="117"/>
    </row>
    <row r="106" spans="1:23" x14ac:dyDescent="0.2">
      <c r="J106" s="117" t="s">
        <v>930</v>
      </c>
      <c r="K106" s="160">
        <f>MAX(K103:K104)</f>
        <v>6100</v>
      </c>
      <c r="L106" s="155">
        <f>MAX(L103:L104)</f>
        <v>5686.5459180029075</v>
      </c>
      <c r="M106" s="155">
        <f>MAX(M103:M104)</f>
        <v>4365.9806227209983</v>
      </c>
    </row>
  </sheetData>
  <pageMargins left="0.7" right="0.7" top="0.75" bottom="0.75" header="0.3" footer="0.3"/>
  <drawing r:id="rId1"/>
  <legacy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8EAB6F-1A1B-5840-B9EB-1481F2CCAEC3}">
  <dimension ref="A1:P312"/>
  <sheetViews>
    <sheetView rightToLeft="1" zoomScale="240" zoomScaleNormal="240" workbookViewId="0">
      <selection activeCell="G5" sqref="G5"/>
    </sheetView>
  </sheetViews>
  <sheetFormatPr baseColWidth="10" defaultRowHeight="16" x14ac:dyDescent="0.2"/>
  <cols>
    <col min="1" max="2" width="10.83203125" style="1"/>
    <col min="3" max="3" width="11.1640625" style="1" bestFit="1" customWidth="1"/>
    <col min="4" max="4" width="10.83203125" style="1"/>
    <col min="5" max="6" width="11.6640625" style="1" bestFit="1" customWidth="1"/>
    <col min="7" max="11" width="10.83203125" style="1"/>
    <col min="12" max="12" width="19.1640625" style="1" customWidth="1"/>
    <col min="13" max="16384" width="10.83203125" style="1"/>
  </cols>
  <sheetData>
    <row r="1" spans="1:8" x14ac:dyDescent="0.2">
      <c r="A1" s="14" t="s">
        <v>1080</v>
      </c>
      <c r="B1" s="14"/>
      <c r="C1" s="14"/>
      <c r="D1" s="14"/>
      <c r="E1" s="14"/>
      <c r="F1" s="14"/>
      <c r="G1" s="14"/>
      <c r="H1" s="14"/>
    </row>
    <row r="2" spans="1:8" ht="17" thickBot="1" x14ac:dyDescent="0.25"/>
    <row r="3" spans="1:8" x14ac:dyDescent="0.2">
      <c r="A3" s="13" t="s">
        <v>1081</v>
      </c>
      <c r="B3" s="5"/>
      <c r="C3" s="5"/>
      <c r="D3" s="5"/>
      <c r="E3" s="5"/>
      <c r="F3" s="5"/>
      <c r="G3" s="5"/>
      <c r="H3" s="6"/>
    </row>
    <row r="4" spans="1:8" x14ac:dyDescent="0.2">
      <c r="A4" s="7" t="s">
        <v>1082</v>
      </c>
      <c r="H4" s="9"/>
    </row>
    <row r="5" spans="1:8" x14ac:dyDescent="0.2">
      <c r="A5" s="7" t="s">
        <v>1083</v>
      </c>
      <c r="H5" s="9"/>
    </row>
    <row r="6" spans="1:8" x14ac:dyDescent="0.2">
      <c r="A6" s="7" t="s">
        <v>1084</v>
      </c>
      <c r="H6" s="9"/>
    </row>
    <row r="7" spans="1:8" ht="17" thickBot="1" x14ac:dyDescent="0.25">
      <c r="A7" s="10" t="s">
        <v>1085</v>
      </c>
      <c r="B7" s="11"/>
      <c r="C7" s="11"/>
      <c r="D7" s="11"/>
      <c r="E7" s="11"/>
      <c r="F7" s="11"/>
      <c r="G7" s="11"/>
      <c r="H7" s="12"/>
    </row>
    <row r="8" spans="1:8" ht="17" thickBot="1" x14ac:dyDescent="0.25"/>
    <row r="9" spans="1:8" x14ac:dyDescent="0.2">
      <c r="A9" s="13" t="s">
        <v>1086</v>
      </c>
      <c r="B9" s="177"/>
      <c r="C9" s="177"/>
      <c r="D9" s="177"/>
      <c r="E9" s="177"/>
      <c r="F9" s="177"/>
      <c r="G9" s="177"/>
      <c r="H9" s="178"/>
    </row>
    <row r="10" spans="1:8" x14ac:dyDescent="0.2">
      <c r="A10" s="7" t="s">
        <v>1087</v>
      </c>
      <c r="H10" s="9"/>
    </row>
    <row r="11" spans="1:8" x14ac:dyDescent="0.2">
      <c r="A11" s="7" t="s">
        <v>1088</v>
      </c>
      <c r="H11" s="9"/>
    </row>
    <row r="12" spans="1:8" x14ac:dyDescent="0.2">
      <c r="A12" s="7" t="s">
        <v>1089</v>
      </c>
      <c r="H12" s="9"/>
    </row>
    <row r="13" spans="1:8" x14ac:dyDescent="0.2">
      <c r="A13" s="7" t="s">
        <v>1263</v>
      </c>
      <c r="H13" s="9"/>
    </row>
    <row r="14" spans="1:8" ht="17" thickBot="1" x14ac:dyDescent="0.25">
      <c r="A14" s="10" t="s">
        <v>1090</v>
      </c>
      <c r="B14" s="11"/>
      <c r="C14" s="11"/>
      <c r="D14" s="11"/>
      <c r="E14" s="11"/>
      <c r="F14" s="11"/>
      <c r="G14" s="11"/>
      <c r="H14" s="12"/>
    </row>
    <row r="15" spans="1:8" ht="17" thickBot="1" x14ac:dyDescent="0.25"/>
    <row r="16" spans="1:8" ht="29" thickBot="1" x14ac:dyDescent="0.35">
      <c r="A16" s="179" t="s">
        <v>1091</v>
      </c>
      <c r="B16" s="180"/>
      <c r="C16" s="180"/>
      <c r="D16" s="180"/>
      <c r="E16" s="180"/>
      <c r="F16" s="180"/>
      <c r="G16" s="180"/>
      <c r="H16" s="181"/>
    </row>
    <row r="17" spans="1:5" x14ac:dyDescent="0.2">
      <c r="A17" s="1" t="s">
        <v>1092</v>
      </c>
    </row>
    <row r="18" spans="1:5" x14ac:dyDescent="0.2">
      <c r="A18" s="1" t="s">
        <v>1093</v>
      </c>
    </row>
    <row r="19" spans="1:5" x14ac:dyDescent="0.2">
      <c r="A19" s="1" t="s">
        <v>1094</v>
      </c>
    </row>
    <row r="21" spans="1:5" x14ac:dyDescent="0.2">
      <c r="A21" s="1" t="s">
        <v>1095</v>
      </c>
    </row>
    <row r="22" spans="1:5" x14ac:dyDescent="0.2">
      <c r="A22" s="1" t="s">
        <v>1096</v>
      </c>
    </row>
    <row r="23" spans="1:5" x14ac:dyDescent="0.2">
      <c r="A23" s="1" t="s">
        <v>1097</v>
      </c>
    </row>
    <row r="25" spans="1:5" x14ac:dyDescent="0.2">
      <c r="A25" s="2" t="s">
        <v>1098</v>
      </c>
    </row>
    <row r="26" spans="1:5" x14ac:dyDescent="0.2">
      <c r="A26" s="2"/>
    </row>
    <row r="27" spans="1:5" x14ac:dyDescent="0.2">
      <c r="A27" s="2"/>
      <c r="B27" s="1" t="s">
        <v>1264</v>
      </c>
      <c r="E27" s="1" t="s">
        <v>1267</v>
      </c>
    </row>
    <row r="28" spans="1:5" x14ac:dyDescent="0.2">
      <c r="A28" s="2"/>
      <c r="B28" s="1" t="s">
        <v>1265</v>
      </c>
      <c r="E28" s="1" t="s">
        <v>1268</v>
      </c>
    </row>
    <row r="29" spans="1:5" x14ac:dyDescent="0.2">
      <c r="A29" s="2"/>
      <c r="B29" s="1" t="s">
        <v>1266</v>
      </c>
    </row>
    <row r="31" spans="1:5" x14ac:dyDescent="0.2">
      <c r="A31" s="2" t="s">
        <v>1099</v>
      </c>
      <c r="B31" s="2"/>
      <c r="C31" s="2"/>
      <c r="D31" s="2"/>
    </row>
    <row r="32" spans="1:5" x14ac:dyDescent="0.2">
      <c r="B32" s="1" t="s">
        <v>1100</v>
      </c>
    </row>
    <row r="33" spans="1:8" x14ac:dyDescent="0.2">
      <c r="B33" s="1" t="s">
        <v>1101</v>
      </c>
    </row>
    <row r="34" spans="1:8" x14ac:dyDescent="0.2">
      <c r="A34" s="1" t="s">
        <v>1102</v>
      </c>
    </row>
    <row r="36" spans="1:8" x14ac:dyDescent="0.2">
      <c r="A36" s="2" t="s">
        <v>1103</v>
      </c>
    </row>
    <row r="37" spans="1:8" x14ac:dyDescent="0.2">
      <c r="A37" s="2" t="s">
        <v>1104</v>
      </c>
    </row>
    <row r="39" spans="1:8" x14ac:dyDescent="0.2">
      <c r="B39" s="1" t="s">
        <v>1105</v>
      </c>
      <c r="G39" s="19" t="s">
        <v>1106</v>
      </c>
      <c r="H39" s="1" t="s">
        <v>1269</v>
      </c>
    </row>
    <row r="40" spans="1:8" x14ac:dyDescent="0.2">
      <c r="B40" s="1" t="s">
        <v>1270</v>
      </c>
      <c r="G40" s="19" t="s">
        <v>1108</v>
      </c>
      <c r="H40" s="1" t="s">
        <v>1271</v>
      </c>
    </row>
    <row r="41" spans="1:8" x14ac:dyDescent="0.2">
      <c r="B41" s="1" t="s">
        <v>1109</v>
      </c>
      <c r="G41" s="19" t="s">
        <v>1106</v>
      </c>
      <c r="H41" s="1" t="s">
        <v>1272</v>
      </c>
    </row>
    <row r="42" spans="1:8" x14ac:dyDescent="0.2">
      <c r="B42" s="1" t="s">
        <v>1110</v>
      </c>
      <c r="G42" s="19" t="s">
        <v>1106</v>
      </c>
      <c r="H42" s="1" t="s">
        <v>1269</v>
      </c>
    </row>
    <row r="44" spans="1:8" x14ac:dyDescent="0.2">
      <c r="A44" s="98" t="s">
        <v>1111</v>
      </c>
      <c r="B44" s="99"/>
      <c r="C44" s="99"/>
      <c r="D44" s="99"/>
      <c r="E44" s="99"/>
      <c r="F44" s="99"/>
      <c r="G44" s="99"/>
      <c r="H44" s="99"/>
    </row>
    <row r="45" spans="1:8" x14ac:dyDescent="0.2">
      <c r="A45" s="1" t="s">
        <v>1112</v>
      </c>
    </row>
    <row r="46" spans="1:8" x14ac:dyDescent="0.2">
      <c r="A46" s="1" t="s">
        <v>1113</v>
      </c>
    </row>
    <row r="47" spans="1:8" x14ac:dyDescent="0.2">
      <c r="A47" s="1" t="s">
        <v>1114</v>
      </c>
    </row>
    <row r="48" spans="1:8" x14ac:dyDescent="0.2">
      <c r="A48" s="1" t="s">
        <v>1115</v>
      </c>
    </row>
    <row r="49" spans="1:16" x14ac:dyDescent="0.2">
      <c r="A49" s="1" t="s">
        <v>1116</v>
      </c>
    </row>
    <row r="50" spans="1:16" x14ac:dyDescent="0.2">
      <c r="A50" s="1" t="s">
        <v>1117</v>
      </c>
    </row>
    <row r="51" spans="1:16" x14ac:dyDescent="0.2">
      <c r="F51" s="94" t="s">
        <v>1281</v>
      </c>
      <c r="G51" s="94"/>
      <c r="H51" s="94"/>
      <c r="L51" s="94" t="s">
        <v>1282</v>
      </c>
      <c r="M51" s="94"/>
      <c r="N51" s="94"/>
    </row>
    <row r="52" spans="1:16" x14ac:dyDescent="0.2">
      <c r="A52" s="1" t="s">
        <v>1118</v>
      </c>
      <c r="F52" s="1" t="s">
        <v>1273</v>
      </c>
      <c r="G52" s="1">
        <v>3000</v>
      </c>
      <c r="L52" s="1" t="s">
        <v>1273</v>
      </c>
      <c r="M52" s="1">
        <v>3000</v>
      </c>
    </row>
    <row r="53" spans="1:16" x14ac:dyDescent="0.2">
      <c r="F53" s="1" t="s">
        <v>1274</v>
      </c>
      <c r="G53" s="1">
        <v>0</v>
      </c>
      <c r="L53" s="1" t="s">
        <v>1274</v>
      </c>
      <c r="M53" s="1">
        <v>0</v>
      </c>
    </row>
    <row r="54" spans="1:16" ht="17" thickBot="1" x14ac:dyDescent="0.25">
      <c r="A54" s="94" t="s">
        <v>656</v>
      </c>
      <c r="B54" s="94" t="s">
        <v>1034</v>
      </c>
      <c r="F54" s="1" t="s">
        <v>1276</v>
      </c>
      <c r="G54" s="202">
        <f>G55-G53-G52</f>
        <v>244.5</v>
      </c>
      <c r="L54" s="1" t="s">
        <v>1276</v>
      </c>
      <c r="M54" s="202">
        <f>M55-M53-M52</f>
        <v>244.5</v>
      </c>
    </row>
    <row r="55" spans="1:16" ht="17" thickBot="1" x14ac:dyDescent="0.25">
      <c r="A55" s="35">
        <v>39995</v>
      </c>
      <c r="B55" s="1">
        <v>3.5</v>
      </c>
      <c r="F55" s="1" t="s">
        <v>1275</v>
      </c>
      <c r="G55" s="54">
        <f>(3000+3%*3000)*3.675/3.5</f>
        <v>3244.5</v>
      </c>
      <c r="J55" s="1" t="s">
        <v>1277</v>
      </c>
      <c r="L55" s="1" t="s">
        <v>1275</v>
      </c>
      <c r="M55" s="203">
        <f>(3000+3%*3000)*3.675/3.5</f>
        <v>3244.5</v>
      </c>
      <c r="P55" s="1" t="s">
        <v>1277</v>
      </c>
    </row>
    <row r="56" spans="1:16" x14ac:dyDescent="0.2">
      <c r="A56" s="35">
        <v>40178</v>
      </c>
      <c r="B56" s="1">
        <v>3.6749999999999998</v>
      </c>
      <c r="F56" s="1" t="s">
        <v>1274</v>
      </c>
      <c r="G56" s="54">
        <f>-3000*6%*3.8/3.5</f>
        <v>-195.42857142857142</v>
      </c>
      <c r="J56" s="1" t="s">
        <v>1278</v>
      </c>
      <c r="L56" s="1" t="s">
        <v>1283</v>
      </c>
      <c r="M56" s="54">
        <f>G56</f>
        <v>-195.42857142857142</v>
      </c>
    </row>
    <row r="57" spans="1:16" ht="17" thickBot="1" x14ac:dyDescent="0.25">
      <c r="A57" s="35">
        <v>40360</v>
      </c>
      <c r="B57" s="1">
        <v>3.8</v>
      </c>
      <c r="F57" s="1" t="s">
        <v>1276</v>
      </c>
      <c r="G57" s="202">
        <f>G58-G56-G55</f>
        <v>416.14285714285734</v>
      </c>
      <c r="L57" s="1" t="s">
        <v>1284</v>
      </c>
      <c r="M57" s="202">
        <f>M58-M56-M55</f>
        <v>208.0714285714289</v>
      </c>
    </row>
    <row r="58" spans="1:16" ht="17" thickBot="1" x14ac:dyDescent="0.25">
      <c r="A58" s="35">
        <v>40543</v>
      </c>
      <c r="B58" s="1">
        <v>3.9249999999999998</v>
      </c>
      <c r="F58" s="1" t="s">
        <v>1279</v>
      </c>
      <c r="G58" s="54">
        <f>(3000+3%*3000)*3.925/3.5</f>
        <v>3465.2142857142858</v>
      </c>
      <c r="J58" s="1" t="s">
        <v>1280</v>
      </c>
      <c r="L58" s="1" t="s">
        <v>1285</v>
      </c>
      <c r="M58" s="203">
        <f>3000*3.8/3.5</f>
        <v>3257.1428571428573</v>
      </c>
      <c r="P58" s="1" t="s">
        <v>1288</v>
      </c>
    </row>
    <row r="59" spans="1:16" x14ac:dyDescent="0.2">
      <c r="L59" s="1" t="s">
        <v>1286</v>
      </c>
      <c r="M59" s="1">
        <v>0</v>
      </c>
    </row>
    <row r="60" spans="1:16" ht="17" thickBot="1" x14ac:dyDescent="0.25">
      <c r="A60" s="1" t="s">
        <v>60</v>
      </c>
      <c r="L60" s="1" t="s">
        <v>1287</v>
      </c>
      <c r="M60" s="202">
        <f>M61-M59-M58</f>
        <v>208.07142857142844</v>
      </c>
    </row>
    <row r="61" spans="1:16" ht="17" thickBot="1" x14ac:dyDescent="0.25">
      <c r="A61" s="1" t="s">
        <v>1119</v>
      </c>
      <c r="L61" s="1" t="s">
        <v>1279</v>
      </c>
      <c r="M61" s="203">
        <f>(3000+3%*3000)*3.925/3.5</f>
        <v>3465.2142857142858</v>
      </c>
      <c r="P61" s="1" t="s">
        <v>1280</v>
      </c>
    </row>
    <row r="62" spans="1:16" x14ac:dyDescent="0.2">
      <c r="A62" s="1" t="s">
        <v>1120</v>
      </c>
    </row>
    <row r="64" spans="1:16" x14ac:dyDescent="0.2">
      <c r="A64" s="2" t="s">
        <v>1121</v>
      </c>
    </row>
    <row r="65" spans="1:8" x14ac:dyDescent="0.2">
      <c r="G65" s="36">
        <v>40178</v>
      </c>
      <c r="H65" s="36">
        <v>40543</v>
      </c>
    </row>
    <row r="66" spans="1:8" x14ac:dyDescent="0.2">
      <c r="A66" s="1" t="s">
        <v>1105</v>
      </c>
      <c r="F66" s="19" t="s">
        <v>1106</v>
      </c>
      <c r="G66" s="21">
        <v>3000</v>
      </c>
      <c r="H66" s="21">
        <f>G69</f>
        <v>3244.5</v>
      </c>
    </row>
    <row r="67" spans="1:8" x14ac:dyDescent="0.2">
      <c r="A67" s="1" t="s">
        <v>1107</v>
      </c>
      <c r="F67" s="19" t="s">
        <v>1108</v>
      </c>
      <c r="G67" s="21">
        <v>0</v>
      </c>
      <c r="H67" s="21">
        <f>-3000*6%*3.8/3.5</f>
        <v>-195.42857142857142</v>
      </c>
    </row>
    <row r="68" spans="1:8" x14ac:dyDescent="0.2">
      <c r="A68" s="1" t="s">
        <v>1109</v>
      </c>
      <c r="F68" s="19" t="s">
        <v>1106</v>
      </c>
      <c r="G68" s="182">
        <f>G69-G67-G66</f>
        <v>244.5</v>
      </c>
      <c r="H68" s="182">
        <f>H69-H67-H66</f>
        <v>416.14285714285734</v>
      </c>
    </row>
    <row r="69" spans="1:8" x14ac:dyDescent="0.2">
      <c r="A69" s="1" t="s">
        <v>1110</v>
      </c>
      <c r="F69" s="19" t="s">
        <v>1106</v>
      </c>
      <c r="G69" s="21">
        <f>3000*(1+6%/2)*3.675/3.5</f>
        <v>3244.5</v>
      </c>
      <c r="H69" s="21">
        <f>3000*(1+6%/2)*3.925/3.5</f>
        <v>3465.2142857142858</v>
      </c>
    </row>
    <row r="71" spans="1:8" x14ac:dyDescent="0.2">
      <c r="A71" s="1" t="s">
        <v>1122</v>
      </c>
    </row>
    <row r="72" spans="1:8" x14ac:dyDescent="0.2">
      <c r="A72" s="1" t="s">
        <v>1123</v>
      </c>
    </row>
    <row r="73" spans="1:8" x14ac:dyDescent="0.2">
      <c r="B73" s="24">
        <v>0.03</v>
      </c>
      <c r="D73" s="24">
        <v>0.03</v>
      </c>
      <c r="F73" s="183">
        <v>0.03</v>
      </c>
    </row>
    <row r="75" spans="1:8" x14ac:dyDescent="0.2">
      <c r="A75" s="56">
        <v>40543</v>
      </c>
      <c r="C75" s="56">
        <v>40360</v>
      </c>
      <c r="E75" s="56">
        <v>40178</v>
      </c>
      <c r="G75" s="56">
        <v>39995</v>
      </c>
    </row>
    <row r="76" spans="1:8" x14ac:dyDescent="0.2">
      <c r="G76" s="19"/>
    </row>
    <row r="77" spans="1:8" x14ac:dyDescent="0.2">
      <c r="A77" s="1" t="s">
        <v>1124</v>
      </c>
      <c r="C77" s="19" t="s">
        <v>1125</v>
      </c>
      <c r="E77" s="1" t="s">
        <v>1124</v>
      </c>
      <c r="G77" s="19" t="s">
        <v>1126</v>
      </c>
    </row>
    <row r="78" spans="1:8" x14ac:dyDescent="0.2">
      <c r="A78" s="1" t="s">
        <v>927</v>
      </c>
      <c r="C78" s="19" t="s">
        <v>1127</v>
      </c>
      <c r="E78" s="1" t="s">
        <v>1128</v>
      </c>
      <c r="G78" s="19" t="s">
        <v>1129</v>
      </c>
    </row>
    <row r="79" spans="1:8" x14ac:dyDescent="0.2">
      <c r="A79" s="1" t="s">
        <v>1130</v>
      </c>
      <c r="C79" s="19" t="s">
        <v>1131</v>
      </c>
      <c r="E79" s="38">
        <f>3000*1.03</f>
        <v>3090</v>
      </c>
      <c r="G79" s="38">
        <v>3000</v>
      </c>
    </row>
    <row r="80" spans="1:8" x14ac:dyDescent="0.2">
      <c r="A80" s="1">
        <f>3000*1.03</f>
        <v>3090</v>
      </c>
      <c r="C80" s="19" t="s">
        <v>1132</v>
      </c>
    </row>
    <row r="81" spans="1:7" x14ac:dyDescent="0.2">
      <c r="C81" s="19" t="s">
        <v>1133</v>
      </c>
      <c r="E81" s="1" t="s">
        <v>1134</v>
      </c>
    </row>
    <row r="82" spans="1:7" x14ac:dyDescent="0.2">
      <c r="A82" s="1" t="s">
        <v>1135</v>
      </c>
      <c r="C82" s="19" t="s">
        <v>1136</v>
      </c>
      <c r="E82" s="1" t="s">
        <v>1137</v>
      </c>
    </row>
    <row r="83" spans="1:7" x14ac:dyDescent="0.2">
      <c r="A83" s="1" t="s">
        <v>1134</v>
      </c>
      <c r="E83" s="1" t="s">
        <v>1138</v>
      </c>
    </row>
    <row r="84" spans="1:7" x14ac:dyDescent="0.2">
      <c r="A84" s="1" t="s">
        <v>1139</v>
      </c>
      <c r="E84" s="1" t="s">
        <v>1140</v>
      </c>
    </row>
    <row r="85" spans="1:7" x14ac:dyDescent="0.2">
      <c r="A85" s="1" t="s">
        <v>1138</v>
      </c>
    </row>
    <row r="86" spans="1:7" x14ac:dyDescent="0.2">
      <c r="A86" s="1" t="s">
        <v>1140</v>
      </c>
      <c r="E86" s="1" t="s">
        <v>1141</v>
      </c>
    </row>
    <row r="87" spans="1:7" x14ac:dyDescent="0.2">
      <c r="E87" s="21">
        <f>E79*3.675/3.5</f>
        <v>3244.5</v>
      </c>
    </row>
    <row r="88" spans="1:7" x14ac:dyDescent="0.2">
      <c r="A88" s="1" t="s">
        <v>1142</v>
      </c>
    </row>
    <row r="89" spans="1:7" x14ac:dyDescent="0.2">
      <c r="A89" s="21">
        <f>A80*3.925/3.5</f>
        <v>3465.2142857142858</v>
      </c>
    </row>
    <row r="91" spans="1:7" x14ac:dyDescent="0.2">
      <c r="A91" s="2" t="s">
        <v>1143</v>
      </c>
    </row>
    <row r="93" spans="1:7" ht="17" thickBot="1" x14ac:dyDescent="0.25"/>
    <row r="94" spans="1:7" x14ac:dyDescent="0.2">
      <c r="A94" s="4"/>
      <c r="B94" s="5"/>
      <c r="C94" s="5"/>
      <c r="D94" s="5"/>
      <c r="E94" s="5"/>
      <c r="F94" s="5"/>
      <c r="G94" s="184">
        <v>40543</v>
      </c>
    </row>
    <row r="95" spans="1:7" x14ac:dyDescent="0.2">
      <c r="A95" s="7" t="s">
        <v>1144</v>
      </c>
      <c r="F95" s="19" t="s">
        <v>1106</v>
      </c>
      <c r="G95" s="185">
        <f>H66</f>
        <v>3244.5</v>
      </c>
    </row>
    <row r="96" spans="1:7" x14ac:dyDescent="0.2">
      <c r="A96" s="7" t="s">
        <v>1145</v>
      </c>
      <c r="F96" s="19" t="s">
        <v>1108</v>
      </c>
      <c r="G96" s="185">
        <f>-3000*6%*3.8/3.5</f>
        <v>-195.42857142857142</v>
      </c>
    </row>
    <row r="97" spans="1:8" x14ac:dyDescent="0.2">
      <c r="A97" s="7" t="s">
        <v>1146</v>
      </c>
      <c r="F97" s="19" t="s">
        <v>1106</v>
      </c>
      <c r="G97" s="186">
        <f>G98-G96-G95</f>
        <v>208.0714285714289</v>
      </c>
    </row>
    <row r="98" spans="1:8" ht="17" thickBot="1" x14ac:dyDescent="0.25">
      <c r="A98" s="10" t="s">
        <v>1147</v>
      </c>
      <c r="B98" s="11"/>
      <c r="C98" s="11"/>
      <c r="D98" s="11"/>
      <c r="E98" s="11"/>
      <c r="F98" s="187" t="s">
        <v>1106</v>
      </c>
      <c r="G98" s="188">
        <f>3000*3.8/3.5</f>
        <v>3257.1428571428573</v>
      </c>
    </row>
    <row r="99" spans="1:8" x14ac:dyDescent="0.2">
      <c r="A99" s="4" t="s">
        <v>1148</v>
      </c>
      <c r="B99" s="5"/>
      <c r="C99" s="5"/>
      <c r="D99" s="5"/>
      <c r="E99" s="5"/>
      <c r="F99" s="189" t="s">
        <v>1108</v>
      </c>
      <c r="G99" s="190">
        <v>0</v>
      </c>
    </row>
    <row r="100" spans="1:8" x14ac:dyDescent="0.2">
      <c r="A100" s="7" t="s">
        <v>1149</v>
      </c>
      <c r="F100" s="19" t="s">
        <v>1106</v>
      </c>
      <c r="G100" s="186">
        <f>G101-G98-G99</f>
        <v>208.07142857142844</v>
      </c>
    </row>
    <row r="101" spans="1:8" ht="17" thickBot="1" x14ac:dyDescent="0.25">
      <c r="A101" s="10" t="s">
        <v>1150</v>
      </c>
      <c r="B101" s="11"/>
      <c r="C101" s="11"/>
      <c r="D101" s="11"/>
      <c r="E101" s="11"/>
      <c r="F101" s="187" t="s">
        <v>1106</v>
      </c>
      <c r="G101" s="188">
        <f>H69</f>
        <v>3465.2142857142858</v>
      </c>
    </row>
    <row r="103" spans="1:8" x14ac:dyDescent="0.2">
      <c r="A103" s="98" t="s">
        <v>1151</v>
      </c>
      <c r="B103" s="99"/>
      <c r="C103" s="99"/>
      <c r="D103" s="99"/>
      <c r="E103" s="99"/>
      <c r="F103" s="99"/>
      <c r="G103" s="99"/>
      <c r="H103" s="99"/>
    </row>
    <row r="104" spans="1:8" x14ac:dyDescent="0.2">
      <c r="A104" s="1" t="s">
        <v>1152</v>
      </c>
    </row>
    <row r="105" spans="1:8" x14ac:dyDescent="0.2">
      <c r="A105" s="1" t="s">
        <v>1153</v>
      </c>
    </row>
    <row r="106" spans="1:8" x14ac:dyDescent="0.2">
      <c r="A106" s="1" t="s">
        <v>1114</v>
      </c>
    </row>
    <row r="107" spans="1:8" x14ac:dyDescent="0.2">
      <c r="A107" s="1" t="s">
        <v>1154</v>
      </c>
    </row>
    <row r="108" spans="1:8" x14ac:dyDescent="0.2">
      <c r="A108" s="1" t="s">
        <v>1155</v>
      </c>
    </row>
    <row r="109" spans="1:8" x14ac:dyDescent="0.2">
      <c r="A109" s="1" t="s">
        <v>1156</v>
      </c>
    </row>
    <row r="111" spans="1:8" x14ac:dyDescent="0.2">
      <c r="A111" s="1" t="s">
        <v>1118</v>
      </c>
    </row>
    <row r="113" spans="1:9" x14ac:dyDescent="0.2">
      <c r="A113" s="94" t="s">
        <v>656</v>
      </c>
      <c r="B113" s="94" t="s">
        <v>1034</v>
      </c>
      <c r="F113" s="1" t="s">
        <v>1289</v>
      </c>
      <c r="I113" s="21">
        <v>10000</v>
      </c>
    </row>
    <row r="114" spans="1:9" x14ac:dyDescent="0.2">
      <c r="A114" s="35">
        <v>40087</v>
      </c>
      <c r="B114" s="1">
        <v>3.8</v>
      </c>
      <c r="F114" s="1" t="s">
        <v>1290</v>
      </c>
      <c r="I114" s="21">
        <v>0</v>
      </c>
    </row>
    <row r="115" spans="1:9" ht="17" thickBot="1" x14ac:dyDescent="0.25">
      <c r="A115" s="35">
        <v>40178</v>
      </c>
      <c r="B115" s="1">
        <v>3.9</v>
      </c>
      <c r="F115" s="1" t="s">
        <v>1293</v>
      </c>
      <c r="I115" s="182">
        <f>I116-I114-I113</f>
        <v>468.4210526315801</v>
      </c>
    </row>
    <row r="116" spans="1:9" ht="17" thickBot="1" x14ac:dyDescent="0.25">
      <c r="A116" s="35">
        <v>40360</v>
      </c>
      <c r="B116" s="1">
        <v>4.05</v>
      </c>
      <c r="F116" s="1" t="s">
        <v>1275</v>
      </c>
      <c r="I116" s="204">
        <f>10000*(1+8%*3/12)*3.9/3.8</f>
        <v>10468.42105263158</v>
      </c>
    </row>
    <row r="117" spans="1:9" x14ac:dyDescent="0.2">
      <c r="A117" s="35">
        <v>40452</v>
      </c>
      <c r="B117" s="1">
        <v>4.3</v>
      </c>
      <c r="F117" s="1" t="s">
        <v>1291</v>
      </c>
      <c r="I117" s="19">
        <v>0</v>
      </c>
    </row>
    <row r="118" spans="1:9" ht="17" thickBot="1" x14ac:dyDescent="0.25">
      <c r="A118" s="35">
        <v>40543</v>
      </c>
      <c r="B118" s="1">
        <v>4.5</v>
      </c>
      <c r="F118" s="1" t="s">
        <v>1294</v>
      </c>
      <c r="I118" s="182">
        <f>I119-I117-I116</f>
        <v>828.94736842105158</v>
      </c>
    </row>
    <row r="119" spans="1:9" ht="17" thickBot="1" x14ac:dyDescent="0.25">
      <c r="F119" s="1" t="s">
        <v>1285</v>
      </c>
      <c r="I119" s="204">
        <f>10000*(1+8%*9/12)*4.05/3.8</f>
        <v>11297.368421052632</v>
      </c>
    </row>
    <row r="120" spans="1:9" x14ac:dyDescent="0.2">
      <c r="F120" s="1" t="s">
        <v>1292</v>
      </c>
      <c r="I120" s="21">
        <f>-10000*8%*4.3/3.8</f>
        <v>-905.26315789473688</v>
      </c>
    </row>
    <row r="121" spans="1:9" ht="17" thickBot="1" x14ac:dyDescent="0.25">
      <c r="F121" s="1" t="s">
        <v>1295</v>
      </c>
      <c r="I121" s="182">
        <f>I122-I120-I119</f>
        <v>1686.8421052631584</v>
      </c>
    </row>
    <row r="122" spans="1:9" ht="17" thickBot="1" x14ac:dyDescent="0.25">
      <c r="F122" s="1" t="s">
        <v>1279</v>
      </c>
      <c r="I122" s="204">
        <f>10000*(1+8%*3/12)*4.5/3.8</f>
        <v>12078.947368421053</v>
      </c>
    </row>
    <row r="123" spans="1:9" x14ac:dyDescent="0.2">
      <c r="A123" s="1" t="s">
        <v>60</v>
      </c>
    </row>
    <row r="124" spans="1:9" x14ac:dyDescent="0.2">
      <c r="A124" s="1" t="s">
        <v>1158</v>
      </c>
    </row>
    <row r="125" spans="1:9" x14ac:dyDescent="0.2">
      <c r="A125" s="1" t="s">
        <v>1159</v>
      </c>
    </row>
    <row r="126" spans="1:9" ht="17" thickBot="1" x14ac:dyDescent="0.25"/>
    <row r="127" spans="1:9" ht="17" thickBot="1" x14ac:dyDescent="0.25">
      <c r="A127" s="16" t="s">
        <v>1158</v>
      </c>
      <c r="B127" s="33"/>
      <c r="C127" s="33"/>
      <c r="D127" s="33"/>
      <c r="E127" s="33"/>
      <c r="F127" s="33"/>
      <c r="G127" s="33"/>
      <c r="H127" s="34"/>
    </row>
    <row r="128" spans="1:9" x14ac:dyDescent="0.2">
      <c r="G128" s="36">
        <v>40178</v>
      </c>
      <c r="H128" s="36">
        <v>40543</v>
      </c>
    </row>
    <row r="129" spans="1:8" x14ac:dyDescent="0.2">
      <c r="A129" s="1" t="s">
        <v>1105</v>
      </c>
      <c r="F129" s="19" t="s">
        <v>1106</v>
      </c>
      <c r="G129" s="21">
        <v>10000</v>
      </c>
      <c r="H129" s="21">
        <f>G132</f>
        <v>10468.42105263158</v>
      </c>
    </row>
    <row r="130" spans="1:8" x14ac:dyDescent="0.2">
      <c r="A130" s="1" t="s">
        <v>1107</v>
      </c>
      <c r="F130" s="19" t="s">
        <v>1108</v>
      </c>
      <c r="G130" s="21">
        <v>0</v>
      </c>
      <c r="H130" s="21">
        <f>-10000*8%*4.3/3.8</f>
        <v>-905.26315789473688</v>
      </c>
    </row>
    <row r="131" spans="1:8" x14ac:dyDescent="0.2">
      <c r="A131" s="1" t="s">
        <v>1109</v>
      </c>
      <c r="F131" s="19" t="s">
        <v>1106</v>
      </c>
      <c r="G131" s="182">
        <f>G132-G130-G129</f>
        <v>468.4210526315801</v>
      </c>
      <c r="H131" s="182">
        <f>H132-H130-H129</f>
        <v>2515.78947368421</v>
      </c>
    </row>
    <row r="132" spans="1:8" x14ac:dyDescent="0.2">
      <c r="A132" s="1" t="s">
        <v>1110</v>
      </c>
      <c r="F132" s="19" t="s">
        <v>1106</v>
      </c>
      <c r="G132" s="21">
        <f>10000*(1+8%/4)*3.9/3.8</f>
        <v>10468.42105263158</v>
      </c>
      <c r="H132" s="21">
        <f>10000*(1+8%/4)*4.5/3.8</f>
        <v>12078.947368421053</v>
      </c>
    </row>
    <row r="133" spans="1:8" ht="17" thickBot="1" x14ac:dyDescent="0.25"/>
    <row r="134" spans="1:8" ht="17" thickBot="1" x14ac:dyDescent="0.25">
      <c r="A134" s="16" t="s">
        <v>1159</v>
      </c>
      <c r="B134" s="17"/>
      <c r="C134" s="17"/>
      <c r="D134" s="17"/>
      <c r="E134" s="17"/>
      <c r="F134" s="17"/>
      <c r="G134" s="17"/>
      <c r="H134" s="18"/>
    </row>
    <row r="136" spans="1:8" x14ac:dyDescent="0.2">
      <c r="A136" s="1" t="s">
        <v>1160</v>
      </c>
      <c r="F136" s="73">
        <f>G132</f>
        <v>10468.42105263158</v>
      </c>
      <c r="G136" s="1" t="s">
        <v>1161</v>
      </c>
    </row>
    <row r="137" spans="1:8" x14ac:dyDescent="0.2">
      <c r="A137" s="1" t="s">
        <v>1162</v>
      </c>
      <c r="F137" s="73">
        <v>0</v>
      </c>
      <c r="G137" s="1" t="s">
        <v>1163</v>
      </c>
    </row>
    <row r="138" spans="1:8" x14ac:dyDescent="0.2">
      <c r="A138" s="1" t="s">
        <v>1164</v>
      </c>
      <c r="F138" s="191">
        <f>F139-F137-F136</f>
        <v>828.94736842105158</v>
      </c>
      <c r="G138" s="1" t="s">
        <v>1165</v>
      </c>
    </row>
    <row r="139" spans="1:8" x14ac:dyDescent="0.2">
      <c r="A139" s="2" t="s">
        <v>1166</v>
      </c>
      <c r="B139" s="2"/>
      <c r="C139" s="2"/>
      <c r="D139" s="2"/>
      <c r="E139" s="2"/>
      <c r="F139" s="192">
        <f>10000*(1+8%*9/12)*4.05/3.8</f>
        <v>11297.368421052632</v>
      </c>
      <c r="G139" s="1" t="s">
        <v>1167</v>
      </c>
    </row>
    <row r="140" spans="1:8" x14ac:dyDescent="0.2">
      <c r="A140" s="1" t="s">
        <v>1168</v>
      </c>
      <c r="F140" s="73">
        <f>-10000*8%*4.3/3.8</f>
        <v>-905.26315789473688</v>
      </c>
      <c r="G140" s="1" t="s">
        <v>1163</v>
      </c>
    </row>
    <row r="141" spans="1:8" x14ac:dyDescent="0.2">
      <c r="A141" s="1" t="s">
        <v>1169</v>
      </c>
      <c r="F141" s="191">
        <f>F142-F139-F140</f>
        <v>1686.8421052631586</v>
      </c>
      <c r="G141" s="1" t="s">
        <v>1165</v>
      </c>
    </row>
    <row r="142" spans="1:8" x14ac:dyDescent="0.2">
      <c r="A142" s="2" t="s">
        <v>1170</v>
      </c>
      <c r="B142" s="2"/>
      <c r="C142" s="2"/>
      <c r="D142" s="2"/>
      <c r="E142" s="2"/>
      <c r="F142" s="192">
        <f>10000*(1+8%/4)*4.5/3.8</f>
        <v>12078.947368421053</v>
      </c>
      <c r="G142" s="1" t="s">
        <v>1167</v>
      </c>
    </row>
    <row r="143" spans="1:8" ht="17" thickBot="1" x14ac:dyDescent="0.25"/>
    <row r="144" spans="1:8" ht="29" thickBot="1" x14ac:dyDescent="0.35">
      <c r="A144" s="179" t="s">
        <v>1171</v>
      </c>
      <c r="B144" s="180"/>
      <c r="C144" s="180"/>
      <c r="D144" s="180"/>
      <c r="E144" s="180"/>
      <c r="F144" s="180"/>
      <c r="G144" s="180"/>
      <c r="H144" s="181"/>
    </row>
    <row r="146" spans="1:3" x14ac:dyDescent="0.2">
      <c r="A146" s="2" t="s">
        <v>1172</v>
      </c>
    </row>
    <row r="147" spans="1:3" x14ac:dyDescent="0.2">
      <c r="A147" s="1" t="s">
        <v>1173</v>
      </c>
    </row>
    <row r="148" spans="1:3" x14ac:dyDescent="0.2">
      <c r="A148" s="1" t="s">
        <v>1174</v>
      </c>
    </row>
    <row r="149" spans="1:3" x14ac:dyDescent="0.2">
      <c r="C149" s="1" t="s">
        <v>922</v>
      </c>
    </row>
    <row r="150" spans="1:3" x14ac:dyDescent="0.2">
      <c r="C150" s="1" t="s">
        <v>1175</v>
      </c>
    </row>
    <row r="151" spans="1:3" x14ac:dyDescent="0.2">
      <c r="C151" s="1" t="s">
        <v>1176</v>
      </c>
    </row>
    <row r="153" spans="1:3" x14ac:dyDescent="0.2">
      <c r="A153" s="2" t="s">
        <v>1000</v>
      </c>
    </row>
    <row r="154" spans="1:3" x14ac:dyDescent="0.2">
      <c r="A154" s="1" t="s">
        <v>1177</v>
      </c>
    </row>
    <row r="155" spans="1:3" x14ac:dyDescent="0.2">
      <c r="A155" s="1" t="s">
        <v>1178</v>
      </c>
    </row>
    <row r="156" spans="1:3" x14ac:dyDescent="0.2">
      <c r="A156" s="1" t="s">
        <v>1179</v>
      </c>
    </row>
    <row r="158" spans="1:3" x14ac:dyDescent="0.2">
      <c r="A158" s="1" t="s">
        <v>1180</v>
      </c>
    </row>
    <row r="160" spans="1:3" x14ac:dyDescent="0.2">
      <c r="A160" s="2" t="s">
        <v>1181</v>
      </c>
    </row>
    <row r="161" spans="1:10" x14ac:dyDescent="0.2">
      <c r="A161" s="1" t="s">
        <v>1182</v>
      </c>
    </row>
    <row r="162" spans="1:10" x14ac:dyDescent="0.2">
      <c r="A162" s="1" t="s">
        <v>1183</v>
      </c>
    </row>
    <row r="163" spans="1:10" x14ac:dyDescent="0.2">
      <c r="A163" s="1" t="s">
        <v>1184</v>
      </c>
    </row>
    <row r="165" spans="1:10" x14ac:dyDescent="0.2">
      <c r="A165" s="98" t="s">
        <v>1185</v>
      </c>
      <c r="B165" s="99"/>
      <c r="C165" s="99"/>
      <c r="D165" s="99"/>
      <c r="E165" s="99"/>
      <c r="F165" s="99"/>
      <c r="G165" s="99"/>
      <c r="H165" s="99"/>
    </row>
    <row r="166" spans="1:10" x14ac:dyDescent="0.2">
      <c r="A166" s="1" t="s">
        <v>1186</v>
      </c>
    </row>
    <row r="167" spans="1:10" x14ac:dyDescent="0.2">
      <c r="A167" s="1" t="s">
        <v>1187</v>
      </c>
    </row>
    <row r="168" spans="1:10" x14ac:dyDescent="0.2">
      <c r="A168" s="1" t="s">
        <v>1188</v>
      </c>
    </row>
    <row r="170" spans="1:10" x14ac:dyDescent="0.2">
      <c r="A170" s="1" t="s">
        <v>1189</v>
      </c>
      <c r="J170" s="1" t="s">
        <v>1157</v>
      </c>
    </row>
    <row r="171" spans="1:10" x14ac:dyDescent="0.2">
      <c r="A171" s="1" t="s">
        <v>1190</v>
      </c>
      <c r="J171" s="1" t="s">
        <v>1191</v>
      </c>
    </row>
    <row r="172" spans="1:10" x14ac:dyDescent="0.2">
      <c r="A172" s="1" t="s">
        <v>1192</v>
      </c>
      <c r="J172" s="1" t="s">
        <v>1193</v>
      </c>
    </row>
    <row r="173" spans="1:10" x14ac:dyDescent="0.2">
      <c r="J173" s="1" t="s">
        <v>1194</v>
      </c>
    </row>
    <row r="174" spans="1:10" x14ac:dyDescent="0.2">
      <c r="A174" s="1" t="s">
        <v>1195</v>
      </c>
      <c r="J174" s="1" t="s">
        <v>1196</v>
      </c>
    </row>
    <row r="175" spans="1:10" x14ac:dyDescent="0.2">
      <c r="A175" s="1" t="s">
        <v>1197</v>
      </c>
      <c r="J175" s="1" t="s">
        <v>1198</v>
      </c>
    </row>
    <row r="176" spans="1:10" x14ac:dyDescent="0.2">
      <c r="D176" s="49">
        <v>41274</v>
      </c>
      <c r="E176" s="49">
        <v>41639</v>
      </c>
      <c r="F176" s="49">
        <v>42004</v>
      </c>
      <c r="G176" s="49">
        <v>42369</v>
      </c>
      <c r="J176" s="1" t="s">
        <v>1199</v>
      </c>
    </row>
    <row r="177" spans="1:10" x14ac:dyDescent="0.2">
      <c r="B177" s="1" t="s">
        <v>1200</v>
      </c>
      <c r="D177" s="73">
        <v>55028</v>
      </c>
      <c r="E177" s="73">
        <v>54309</v>
      </c>
      <c r="F177" s="73">
        <v>53972</v>
      </c>
      <c r="G177" s="73">
        <v>50464</v>
      </c>
      <c r="J177" s="1" t="s">
        <v>1201</v>
      </c>
    </row>
    <row r="178" spans="1:10" x14ac:dyDescent="0.2">
      <c r="B178" s="1" t="s">
        <v>1202</v>
      </c>
      <c r="D178" s="73">
        <v>10362</v>
      </c>
      <c r="E178" s="73">
        <v>14685</v>
      </c>
      <c r="F178" s="73">
        <v>29729</v>
      </c>
      <c r="G178" s="73">
        <v>21363</v>
      </c>
    </row>
    <row r="179" spans="1:10" x14ac:dyDescent="0.2">
      <c r="B179" s="1" t="s">
        <v>1203</v>
      </c>
      <c r="D179" s="73">
        <f>(D177-D178)*30%</f>
        <v>13399.8</v>
      </c>
      <c r="E179" s="73">
        <f t="shared" ref="E179:G179" si="0">(E177-E178)*30%</f>
        <v>11887.199999999999</v>
      </c>
      <c r="F179" s="73">
        <f t="shared" si="0"/>
        <v>7272.9</v>
      </c>
      <c r="G179" s="73">
        <f t="shared" si="0"/>
        <v>8730.2999999999993</v>
      </c>
    </row>
    <row r="181" spans="1:10" x14ac:dyDescent="0.2">
      <c r="A181" s="1" t="s">
        <v>1204</v>
      </c>
    </row>
    <row r="183" spans="1:10" x14ac:dyDescent="0.2">
      <c r="A183" s="1" t="s">
        <v>1205</v>
      </c>
    </row>
    <row r="184" spans="1:10" x14ac:dyDescent="0.2">
      <c r="A184" s="1" t="s">
        <v>1206</v>
      </c>
    </row>
    <row r="186" spans="1:10" x14ac:dyDescent="0.2">
      <c r="A186" s="2" t="s">
        <v>1207</v>
      </c>
    </row>
    <row r="187" spans="1:10" x14ac:dyDescent="0.2">
      <c r="A187" s="1" t="s">
        <v>1208</v>
      </c>
    </row>
    <row r="188" spans="1:10" x14ac:dyDescent="0.2">
      <c r="A188" s="1" t="s">
        <v>1209</v>
      </c>
    </row>
    <row r="190" spans="1:10" x14ac:dyDescent="0.2">
      <c r="A190" s="2" t="s">
        <v>506</v>
      </c>
    </row>
    <row r="192" spans="1:10" x14ac:dyDescent="0.2">
      <c r="A192" s="1" t="s">
        <v>1210</v>
      </c>
    </row>
    <row r="194" spans="1:6" x14ac:dyDescent="0.2">
      <c r="A194" s="193" t="s">
        <v>1211</v>
      </c>
    </row>
    <row r="195" spans="1:6" x14ac:dyDescent="0.2">
      <c r="A195" s="1" t="s">
        <v>1190</v>
      </c>
    </row>
    <row r="196" spans="1:6" x14ac:dyDescent="0.2">
      <c r="A196" s="1" t="s">
        <v>1192</v>
      </c>
    </row>
    <row r="198" spans="1:6" x14ac:dyDescent="0.2">
      <c r="A198" s="1" t="s">
        <v>1212</v>
      </c>
    </row>
    <row r="199" spans="1:6" x14ac:dyDescent="0.2">
      <c r="A199" s="1" t="s">
        <v>1213</v>
      </c>
      <c r="E199" s="1" t="s">
        <v>1214</v>
      </c>
      <c r="F199" s="1" t="s">
        <v>1215</v>
      </c>
    </row>
    <row r="201" spans="1:6" x14ac:dyDescent="0.2">
      <c r="A201" s="1" t="s">
        <v>1216</v>
      </c>
    </row>
    <row r="203" spans="1:6" x14ac:dyDescent="0.2">
      <c r="A203" s="1" t="s">
        <v>1217</v>
      </c>
      <c r="E203" s="24">
        <v>0.05</v>
      </c>
      <c r="F203" s="1" t="s">
        <v>967</v>
      </c>
    </row>
    <row r="204" spans="1:6" x14ac:dyDescent="0.2">
      <c r="A204" s="1" t="s">
        <v>1218</v>
      </c>
      <c r="E204" s="1">
        <v>5</v>
      </c>
      <c r="F204" s="1" t="s">
        <v>1219</v>
      </c>
    </row>
    <row r="205" spans="1:6" x14ac:dyDescent="0.2">
      <c r="A205" s="1" t="s">
        <v>1220</v>
      </c>
      <c r="E205" s="1">
        <v>30000</v>
      </c>
      <c r="F205" s="1" t="s">
        <v>1215</v>
      </c>
    </row>
    <row r="206" spans="1:6" x14ac:dyDescent="0.2">
      <c r="A206" s="1" t="s">
        <v>1221</v>
      </c>
      <c r="E206" s="1">
        <v>0</v>
      </c>
      <c r="F206" s="1" t="s">
        <v>1222</v>
      </c>
    </row>
    <row r="208" spans="1:6" x14ac:dyDescent="0.2">
      <c r="E208" s="194">
        <f>PV(E203,E204,E205,E206)</f>
        <v>-129884.30011892464</v>
      </c>
      <c r="F208" s="1" t="s">
        <v>1223</v>
      </c>
    </row>
    <row r="210" spans="1:7" x14ac:dyDescent="0.2">
      <c r="A210" s="1" t="s">
        <v>1224</v>
      </c>
      <c r="E210" s="191">
        <f>-E208</f>
        <v>129884.30011892464</v>
      </c>
    </row>
    <row r="212" spans="1:7" x14ac:dyDescent="0.2">
      <c r="A212" s="193" t="s">
        <v>1195</v>
      </c>
    </row>
    <row r="213" spans="1:7" x14ac:dyDescent="0.2">
      <c r="A213" s="1" t="s">
        <v>1197</v>
      </c>
    </row>
    <row r="214" spans="1:7" x14ac:dyDescent="0.2">
      <c r="D214" s="49">
        <v>41274</v>
      </c>
      <c r="E214" s="49">
        <v>41639</v>
      </c>
      <c r="F214" s="49">
        <v>42004</v>
      </c>
      <c r="G214" s="49">
        <v>42369</v>
      </c>
    </row>
    <row r="215" spans="1:7" x14ac:dyDescent="0.2">
      <c r="B215" s="1" t="s">
        <v>1200</v>
      </c>
      <c r="D215" s="73">
        <v>55028</v>
      </c>
      <c r="E215" s="73">
        <v>54309</v>
      </c>
      <c r="F215" s="73">
        <v>53972</v>
      </c>
      <c r="G215" s="73">
        <v>50464</v>
      </c>
    </row>
    <row r="216" spans="1:7" x14ac:dyDescent="0.2">
      <c r="B216" s="1" t="s">
        <v>1202</v>
      </c>
      <c r="D216" s="73">
        <v>10362</v>
      </c>
      <c r="E216" s="73">
        <v>14685</v>
      </c>
      <c r="F216" s="73">
        <v>29729</v>
      </c>
      <c r="G216" s="73">
        <v>21363</v>
      </c>
    </row>
    <row r="217" spans="1:7" x14ac:dyDescent="0.2">
      <c r="B217" s="1" t="s">
        <v>1203</v>
      </c>
      <c r="D217" s="73">
        <f>(D215-D216)*30%</f>
        <v>13399.8</v>
      </c>
      <c r="E217" s="73">
        <f t="shared" ref="E217:G217" si="1">(E215-E216)*30%</f>
        <v>11887.199999999999</v>
      </c>
      <c r="F217" s="73">
        <f t="shared" si="1"/>
        <v>7272.9</v>
      </c>
      <c r="G217" s="73">
        <f t="shared" si="1"/>
        <v>8730.2999999999993</v>
      </c>
    </row>
    <row r="219" spans="1:7" x14ac:dyDescent="0.2">
      <c r="A219" s="1" t="s">
        <v>1225</v>
      </c>
    </row>
    <row r="220" spans="1:7" x14ac:dyDescent="0.2">
      <c r="B220" s="1" t="s">
        <v>1226</v>
      </c>
      <c r="D220" s="73">
        <f>D215-D216</f>
        <v>44666</v>
      </c>
      <c r="E220" s="73">
        <f t="shared" ref="E220:G220" si="2">E215-E216</f>
        <v>39624</v>
      </c>
      <c r="F220" s="73">
        <f t="shared" si="2"/>
        <v>24243</v>
      </c>
      <c r="G220" s="73">
        <f t="shared" si="2"/>
        <v>29101</v>
      </c>
    </row>
    <row r="222" spans="1:7" x14ac:dyDescent="0.2">
      <c r="A222" s="1" t="s">
        <v>1227</v>
      </c>
    </row>
    <row r="223" spans="1:7" x14ac:dyDescent="0.2">
      <c r="D223" s="1" t="s">
        <v>1228</v>
      </c>
      <c r="E223" s="1" t="s">
        <v>1229</v>
      </c>
    </row>
    <row r="224" spans="1:7" x14ac:dyDescent="0.2">
      <c r="D224" s="35">
        <v>41274</v>
      </c>
      <c r="E224" s="73">
        <f>D220</f>
        <v>44666</v>
      </c>
    </row>
    <row r="225" spans="1:7" x14ac:dyDescent="0.2">
      <c r="D225" s="35">
        <v>41639</v>
      </c>
      <c r="E225" s="73">
        <f>E220</f>
        <v>39624</v>
      </c>
    </row>
    <row r="226" spans="1:7" x14ac:dyDescent="0.2">
      <c r="D226" s="35">
        <v>42004</v>
      </c>
      <c r="E226" s="73">
        <f>F220</f>
        <v>24243</v>
      </c>
    </row>
    <row r="227" spans="1:7" x14ac:dyDescent="0.2">
      <c r="D227" s="35">
        <v>42369</v>
      </c>
      <c r="E227" s="73">
        <f>G220</f>
        <v>29101</v>
      </c>
    </row>
    <row r="229" spans="1:7" x14ac:dyDescent="0.2">
      <c r="A229" s="1" t="s">
        <v>1230</v>
      </c>
      <c r="E229" s="191">
        <f>NPV(5%,E224:E227)</f>
        <v>123362.66329358652</v>
      </c>
      <c r="F229" s="1" t="s">
        <v>968</v>
      </c>
    </row>
    <row r="231" spans="1:7" x14ac:dyDescent="0.2">
      <c r="A231" s="193" t="s">
        <v>1205</v>
      </c>
    </row>
    <row r="232" spans="1:7" x14ac:dyDescent="0.2">
      <c r="A232" s="1" t="s">
        <v>1206</v>
      </c>
    </row>
    <row r="234" spans="1:7" x14ac:dyDescent="0.2">
      <c r="D234" s="1" t="s">
        <v>1228</v>
      </c>
      <c r="E234" s="1" t="s">
        <v>1229</v>
      </c>
    </row>
    <row r="235" spans="1:7" x14ac:dyDescent="0.2">
      <c r="D235" s="35">
        <v>41639</v>
      </c>
      <c r="E235" s="73">
        <f t="shared" ref="E235:E236" si="3">E225</f>
        <v>39624</v>
      </c>
    </row>
    <row r="236" spans="1:7" x14ac:dyDescent="0.2">
      <c r="D236" s="35">
        <v>42004</v>
      </c>
      <c r="E236" s="73">
        <f t="shared" si="3"/>
        <v>24243</v>
      </c>
    </row>
    <row r="237" spans="1:7" x14ac:dyDescent="0.2">
      <c r="D237" s="35">
        <v>42369</v>
      </c>
      <c r="E237" s="73">
        <f>E227+17000</f>
        <v>46101</v>
      </c>
      <c r="F237" s="1" t="s">
        <v>1231</v>
      </c>
      <c r="G237" s="73">
        <f>E227</f>
        <v>29101</v>
      </c>
    </row>
    <row r="239" spans="1:7" x14ac:dyDescent="0.2">
      <c r="A239" s="1" t="s">
        <v>1232</v>
      </c>
      <c r="E239" s="191">
        <f>NPV(5%,E235:E237)</f>
        <v>99550.035633300926</v>
      </c>
      <c r="F239" s="1" t="s">
        <v>968</v>
      </c>
    </row>
    <row r="241" spans="1:8" x14ac:dyDescent="0.2">
      <c r="A241" s="98" t="s">
        <v>1233</v>
      </c>
      <c r="B241" s="99"/>
      <c r="C241" s="99"/>
      <c r="D241" s="99"/>
      <c r="E241" s="99"/>
      <c r="F241" s="99"/>
      <c r="G241" s="99"/>
      <c r="H241" s="99"/>
    </row>
    <row r="243" spans="1:8" x14ac:dyDescent="0.2">
      <c r="A243" s="1" t="s">
        <v>1234</v>
      </c>
    </row>
    <row r="244" spans="1:8" x14ac:dyDescent="0.2">
      <c r="A244" s="1" t="s">
        <v>1235</v>
      </c>
    </row>
    <row r="245" spans="1:8" x14ac:dyDescent="0.2">
      <c r="A245" s="1" t="s">
        <v>1236</v>
      </c>
    </row>
    <row r="246" spans="1:8" x14ac:dyDescent="0.2">
      <c r="A246" s="1" t="s">
        <v>1237</v>
      </c>
    </row>
    <row r="247" spans="1:8" x14ac:dyDescent="0.2">
      <c r="A247" s="1" t="s">
        <v>1238</v>
      </c>
    </row>
    <row r="249" spans="1:8" x14ac:dyDescent="0.2">
      <c r="A249" s="1" t="s">
        <v>1239</v>
      </c>
      <c r="B249" s="1" t="s">
        <v>1240</v>
      </c>
    </row>
    <row r="250" spans="1:8" x14ac:dyDescent="0.2">
      <c r="B250" s="1" t="s">
        <v>1241</v>
      </c>
    </row>
    <row r="251" spans="1:8" x14ac:dyDescent="0.2">
      <c r="B251" s="1" t="s">
        <v>1242</v>
      </c>
    </row>
    <row r="252" spans="1:8" x14ac:dyDescent="0.2">
      <c r="B252" s="1" t="s">
        <v>1243</v>
      </c>
    </row>
    <row r="254" spans="1:8" x14ac:dyDescent="0.2">
      <c r="A254" s="1" t="s">
        <v>1244</v>
      </c>
      <c r="B254" s="1" t="s">
        <v>1245</v>
      </c>
    </row>
    <row r="255" spans="1:8" x14ac:dyDescent="0.2">
      <c r="B255" s="1" t="s">
        <v>1246</v>
      </c>
    </row>
    <row r="256" spans="1:8" x14ac:dyDescent="0.2">
      <c r="B256" s="1" t="s">
        <v>1247</v>
      </c>
    </row>
    <row r="258" spans="1:10" x14ac:dyDescent="0.2">
      <c r="A258" s="1" t="s">
        <v>1248</v>
      </c>
      <c r="B258" s="1" t="s">
        <v>1249</v>
      </c>
    </row>
    <row r="259" spans="1:10" x14ac:dyDescent="0.2">
      <c r="B259" s="1" t="s">
        <v>1250</v>
      </c>
    </row>
    <row r="260" spans="1:10" x14ac:dyDescent="0.2">
      <c r="B260" s="1" t="s">
        <v>1251</v>
      </c>
    </row>
    <row r="261" spans="1:10" x14ac:dyDescent="0.2">
      <c r="B261" s="1" t="s">
        <v>1252</v>
      </c>
    </row>
    <row r="262" spans="1:10" x14ac:dyDescent="0.2">
      <c r="B262" s="1" t="s">
        <v>1253</v>
      </c>
    </row>
    <row r="264" spans="1:10" x14ac:dyDescent="0.2">
      <c r="A264" s="1" t="s">
        <v>1254</v>
      </c>
    </row>
    <row r="266" spans="1:10" x14ac:dyDescent="0.2">
      <c r="A266" s="1" t="s">
        <v>506</v>
      </c>
    </row>
    <row r="268" spans="1:10" x14ac:dyDescent="0.2">
      <c r="A268" s="195" t="s">
        <v>1239</v>
      </c>
      <c r="B268" s="195" t="s">
        <v>1240</v>
      </c>
      <c r="C268" s="195"/>
      <c r="D268" s="195"/>
      <c r="E268" s="195"/>
      <c r="F268" s="195"/>
      <c r="G268" s="195"/>
      <c r="H268" s="195"/>
      <c r="I268" s="196"/>
      <c r="J268" s="196"/>
    </row>
    <row r="269" spans="1:10" x14ac:dyDescent="0.2">
      <c r="A269" s="196"/>
      <c r="B269" s="195" t="s">
        <v>1241</v>
      </c>
      <c r="C269" s="195"/>
      <c r="D269" s="195"/>
      <c r="E269" s="195"/>
      <c r="F269" s="196"/>
      <c r="G269" s="196"/>
      <c r="H269" s="196"/>
      <c r="I269" s="196"/>
      <c r="J269" s="196"/>
    </row>
    <row r="270" spans="1:10" x14ac:dyDescent="0.2">
      <c r="A270" s="196"/>
      <c r="B270" s="195" t="s">
        <v>1242</v>
      </c>
      <c r="C270" s="195"/>
      <c r="D270" s="195"/>
      <c r="E270" s="196"/>
      <c r="F270" s="196"/>
      <c r="G270" s="196"/>
      <c r="H270" s="196"/>
      <c r="I270" s="196"/>
      <c r="J270" s="196"/>
    </row>
    <row r="271" spans="1:10" x14ac:dyDescent="0.2">
      <c r="A271" s="196"/>
      <c r="B271" s="195" t="s">
        <v>1243</v>
      </c>
      <c r="C271" s="195"/>
      <c r="D271" s="195"/>
      <c r="E271" s="196"/>
      <c r="F271" s="196"/>
      <c r="G271" s="196"/>
      <c r="H271" s="196"/>
      <c r="I271" s="196"/>
      <c r="J271" s="196"/>
    </row>
    <row r="272" spans="1:10" x14ac:dyDescent="0.2">
      <c r="A272" s="196"/>
      <c r="B272" s="196"/>
      <c r="C272" s="196"/>
      <c r="D272" s="196"/>
      <c r="E272" s="196"/>
      <c r="F272" s="196"/>
      <c r="G272" s="196"/>
      <c r="H272" s="196"/>
      <c r="I272" s="196"/>
      <c r="J272" s="196"/>
    </row>
    <row r="273" spans="1:10" x14ac:dyDescent="0.2">
      <c r="A273" s="196"/>
      <c r="B273" s="195" t="s">
        <v>1255</v>
      </c>
      <c r="C273" s="196"/>
      <c r="D273" s="196"/>
      <c r="E273" s="196"/>
      <c r="F273" s="196"/>
      <c r="G273" s="196"/>
      <c r="H273" s="196"/>
      <c r="I273" s="196"/>
      <c r="J273" s="196"/>
    </row>
    <row r="274" spans="1:10" x14ac:dyDescent="0.2">
      <c r="A274" s="196"/>
      <c r="B274" s="196"/>
      <c r="C274" s="196"/>
      <c r="D274" s="196"/>
      <c r="E274" s="196"/>
      <c r="F274" s="196" t="s">
        <v>225</v>
      </c>
      <c r="G274" s="196" t="s">
        <v>1226</v>
      </c>
      <c r="H274" s="196"/>
      <c r="I274" s="196"/>
      <c r="J274" s="196"/>
    </row>
    <row r="275" spans="1:10" x14ac:dyDescent="0.2">
      <c r="A275" s="196"/>
      <c r="B275" s="196"/>
      <c r="C275" s="196"/>
      <c r="D275" s="196"/>
      <c r="E275" s="196"/>
      <c r="F275" s="196">
        <v>2021</v>
      </c>
      <c r="G275" s="196">
        <f>60000-40000</f>
        <v>20000</v>
      </c>
      <c r="H275" s="196"/>
      <c r="I275" s="196"/>
      <c r="J275" s="196"/>
    </row>
    <row r="276" spans="1:10" x14ac:dyDescent="0.2">
      <c r="A276" s="196"/>
      <c r="B276" s="196"/>
      <c r="C276" s="196"/>
      <c r="D276" s="196"/>
      <c r="E276" s="196"/>
      <c r="F276" s="196">
        <v>2022</v>
      </c>
      <c r="G276" s="196">
        <f>G275</f>
        <v>20000</v>
      </c>
      <c r="H276" s="196"/>
      <c r="I276" s="196"/>
      <c r="J276" s="196"/>
    </row>
    <row r="277" spans="1:10" x14ac:dyDescent="0.2">
      <c r="A277" s="196"/>
      <c r="B277" s="196"/>
      <c r="C277" s="196"/>
      <c r="D277" s="196"/>
      <c r="E277" s="196"/>
      <c r="F277" s="196">
        <f>F276+1</f>
        <v>2023</v>
      </c>
      <c r="G277" s="196">
        <f>80000-40000</f>
        <v>40000</v>
      </c>
      <c r="H277" s="196"/>
      <c r="I277" s="196"/>
      <c r="J277" s="196"/>
    </row>
    <row r="278" spans="1:10" x14ac:dyDescent="0.2">
      <c r="A278" s="196"/>
      <c r="B278" s="196"/>
      <c r="C278" s="196"/>
      <c r="D278" s="196"/>
      <c r="E278" s="196"/>
      <c r="F278" s="196">
        <f t="shared" ref="F278:F284" si="4">F277+1</f>
        <v>2024</v>
      </c>
      <c r="G278" s="196">
        <f>G277</f>
        <v>40000</v>
      </c>
      <c r="H278" s="196"/>
      <c r="I278" s="196"/>
      <c r="J278" s="196"/>
    </row>
    <row r="279" spans="1:10" x14ac:dyDescent="0.2">
      <c r="A279" s="196"/>
      <c r="B279" s="196"/>
      <c r="C279" s="196"/>
      <c r="D279" s="196"/>
      <c r="E279" s="196"/>
      <c r="F279" s="196">
        <f t="shared" si="4"/>
        <v>2025</v>
      </c>
      <c r="G279" s="196">
        <f t="shared" ref="G279:G284" si="5">G278</f>
        <v>40000</v>
      </c>
      <c r="H279" s="196"/>
      <c r="I279" s="196"/>
      <c r="J279" s="196"/>
    </row>
    <row r="280" spans="1:10" x14ac:dyDescent="0.2">
      <c r="A280" s="196"/>
      <c r="B280" s="196"/>
      <c r="C280" s="197">
        <f>NPV(4%,G275:G284)</f>
        <v>286713.93768307677</v>
      </c>
      <c r="D280" s="196" t="s">
        <v>968</v>
      </c>
      <c r="E280" s="196"/>
      <c r="F280" s="196">
        <f t="shared" si="4"/>
        <v>2026</v>
      </c>
      <c r="G280" s="196">
        <f t="shared" si="5"/>
        <v>40000</v>
      </c>
      <c r="H280" s="196"/>
      <c r="I280" s="196"/>
      <c r="J280" s="196"/>
    </row>
    <row r="281" spans="1:10" x14ac:dyDescent="0.2">
      <c r="A281" s="196"/>
      <c r="B281" s="196"/>
      <c r="C281" s="196"/>
      <c r="D281" s="196"/>
      <c r="E281" s="196"/>
      <c r="F281" s="196">
        <f t="shared" si="4"/>
        <v>2027</v>
      </c>
      <c r="G281" s="196">
        <f t="shared" si="5"/>
        <v>40000</v>
      </c>
      <c r="H281" s="196"/>
      <c r="I281" s="196"/>
      <c r="J281" s="196"/>
    </row>
    <row r="282" spans="1:10" x14ac:dyDescent="0.2">
      <c r="A282" s="196"/>
      <c r="B282" s="196"/>
      <c r="C282" s="196"/>
      <c r="D282" s="196"/>
      <c r="E282" s="196"/>
      <c r="F282" s="196">
        <f t="shared" si="4"/>
        <v>2028</v>
      </c>
      <c r="G282" s="196">
        <f t="shared" si="5"/>
        <v>40000</v>
      </c>
      <c r="H282" s="196"/>
      <c r="I282" s="196"/>
      <c r="J282" s="196"/>
    </row>
    <row r="283" spans="1:10" x14ac:dyDescent="0.2">
      <c r="A283" s="196"/>
      <c r="B283" s="196"/>
      <c r="C283" s="196"/>
      <c r="D283" s="196"/>
      <c r="E283" s="196"/>
      <c r="F283" s="196">
        <f t="shared" si="4"/>
        <v>2029</v>
      </c>
      <c r="G283" s="196">
        <f t="shared" si="5"/>
        <v>40000</v>
      </c>
      <c r="H283" s="196"/>
      <c r="I283" s="196"/>
      <c r="J283" s="196"/>
    </row>
    <row r="284" spans="1:10" x14ac:dyDescent="0.2">
      <c r="A284" s="196"/>
      <c r="B284" s="196"/>
      <c r="C284" s="196"/>
      <c r="D284" s="196"/>
      <c r="E284" s="196"/>
      <c r="F284" s="196">
        <f t="shared" si="4"/>
        <v>2030</v>
      </c>
      <c r="G284" s="196">
        <f t="shared" si="5"/>
        <v>40000</v>
      </c>
      <c r="H284" s="196"/>
      <c r="I284" s="196"/>
      <c r="J284" s="196"/>
    </row>
    <row r="285" spans="1:10" x14ac:dyDescent="0.2">
      <c r="A285" s="196"/>
      <c r="B285" s="196"/>
      <c r="C285" s="196"/>
      <c r="D285" s="196"/>
      <c r="E285" s="196"/>
      <c r="F285" s="196"/>
      <c r="G285" s="196"/>
      <c r="H285" s="196"/>
      <c r="I285" s="196"/>
      <c r="J285" s="196"/>
    </row>
    <row r="286" spans="1:10" x14ac:dyDescent="0.2">
      <c r="A286" s="195" t="s">
        <v>1244</v>
      </c>
      <c r="B286" s="195" t="s">
        <v>1245</v>
      </c>
      <c r="C286" s="195"/>
      <c r="D286" s="195"/>
      <c r="E286" s="195"/>
      <c r="F286" s="196"/>
      <c r="G286" s="196"/>
      <c r="H286" s="196"/>
      <c r="I286" s="196"/>
      <c r="J286" s="196"/>
    </row>
    <row r="287" spans="1:10" x14ac:dyDescent="0.2">
      <c r="A287" s="196"/>
      <c r="B287" s="195" t="s">
        <v>1246</v>
      </c>
      <c r="C287" s="195"/>
      <c r="D287" s="195"/>
      <c r="E287" s="195"/>
      <c r="F287" s="196"/>
      <c r="G287" s="196"/>
      <c r="H287" s="196"/>
      <c r="I287" s="196"/>
      <c r="J287" s="196"/>
    </row>
    <row r="288" spans="1:10" x14ac:dyDescent="0.2">
      <c r="A288" s="196"/>
      <c r="B288" s="195" t="s">
        <v>1247</v>
      </c>
      <c r="C288" s="195"/>
      <c r="D288" s="195"/>
      <c r="E288" s="195"/>
      <c r="F288" s="195"/>
      <c r="G288" s="196"/>
      <c r="H288" s="196"/>
      <c r="I288" s="196"/>
      <c r="J288" s="196"/>
    </row>
    <row r="289" spans="1:10" x14ac:dyDescent="0.2">
      <c r="A289" s="196"/>
      <c r="B289" s="195"/>
      <c r="C289" s="195"/>
      <c r="D289" s="195"/>
      <c r="E289" s="195"/>
      <c r="F289" s="195"/>
      <c r="G289" s="196"/>
      <c r="H289" s="196"/>
      <c r="I289" s="196"/>
      <c r="J289" s="196"/>
    </row>
    <row r="290" spans="1:10" x14ac:dyDescent="0.2">
      <c r="A290" s="196"/>
      <c r="B290" s="195" t="s">
        <v>1256</v>
      </c>
      <c r="C290" s="195"/>
      <c r="D290" s="195"/>
      <c r="E290" s="195"/>
      <c r="F290" s="195"/>
      <c r="G290" s="196"/>
      <c r="H290" s="196"/>
      <c r="I290" s="196"/>
      <c r="J290" s="196"/>
    </row>
    <row r="291" spans="1:10" x14ac:dyDescent="0.2">
      <c r="A291" s="196"/>
      <c r="B291" s="195"/>
      <c r="C291" s="195"/>
      <c r="D291" s="195"/>
      <c r="E291" s="195"/>
      <c r="F291" s="195"/>
      <c r="G291" s="196"/>
      <c r="H291" s="196"/>
      <c r="I291" s="196"/>
      <c r="J291" s="196"/>
    </row>
    <row r="292" spans="1:10" x14ac:dyDescent="0.2">
      <c r="A292" s="196"/>
      <c r="B292" s="195" t="s">
        <v>1257</v>
      </c>
      <c r="C292" s="195"/>
      <c r="D292" s="195"/>
      <c r="E292" s="195"/>
      <c r="F292" s="198">
        <v>0.04</v>
      </c>
      <c r="G292" s="196" t="s">
        <v>113</v>
      </c>
      <c r="H292" s="196"/>
      <c r="I292" s="196"/>
      <c r="J292" s="196"/>
    </row>
    <row r="293" spans="1:10" x14ac:dyDescent="0.2">
      <c r="A293" s="196"/>
      <c r="B293" s="195" t="s">
        <v>1258</v>
      </c>
      <c r="C293" s="195"/>
      <c r="D293" s="195"/>
      <c r="E293" s="195"/>
      <c r="F293" s="195">
        <v>11</v>
      </c>
      <c r="G293" s="196" t="s">
        <v>114</v>
      </c>
      <c r="H293" s="196"/>
      <c r="I293" s="196"/>
      <c r="J293" s="196"/>
    </row>
    <row r="294" spans="1:10" x14ac:dyDescent="0.2">
      <c r="A294" s="196"/>
      <c r="B294" s="195" t="s">
        <v>1259</v>
      </c>
      <c r="C294" s="195"/>
      <c r="D294" s="195"/>
      <c r="E294" s="195"/>
      <c r="F294" s="195">
        <v>30000</v>
      </c>
      <c r="G294" s="196" t="s">
        <v>115</v>
      </c>
      <c r="H294" s="196"/>
      <c r="I294" s="196"/>
      <c r="J294" s="196"/>
    </row>
    <row r="295" spans="1:10" x14ac:dyDescent="0.2">
      <c r="A295" s="196"/>
      <c r="B295" s="195" t="s">
        <v>1260</v>
      </c>
      <c r="C295" s="195"/>
      <c r="D295" s="195"/>
      <c r="E295" s="195"/>
      <c r="F295" s="199">
        <v>15000</v>
      </c>
      <c r="G295" s="196" t="s">
        <v>117</v>
      </c>
      <c r="H295" s="196"/>
      <c r="I295" s="196"/>
      <c r="J295" s="196"/>
    </row>
    <row r="296" spans="1:10" x14ac:dyDescent="0.2">
      <c r="A296" s="196"/>
      <c r="B296" s="195"/>
      <c r="C296" s="195"/>
      <c r="D296" s="195"/>
      <c r="E296" s="195"/>
      <c r="F296" s="200">
        <f>PV(F292,F293,F294,F295)</f>
        <v>-272558.01530099811</v>
      </c>
      <c r="G296" s="196" t="s">
        <v>116</v>
      </c>
      <c r="H296" s="196"/>
      <c r="I296" s="196"/>
      <c r="J296" s="196"/>
    </row>
    <row r="297" spans="1:10" x14ac:dyDescent="0.2">
      <c r="A297" s="196"/>
      <c r="B297" s="195" t="s">
        <v>1261</v>
      </c>
      <c r="C297" s="195"/>
      <c r="D297" s="201">
        <f>-F296</f>
        <v>272558.01530099811</v>
      </c>
      <c r="E297" s="195"/>
      <c r="F297" s="195"/>
      <c r="G297" s="196"/>
      <c r="H297" s="196"/>
      <c r="I297" s="196"/>
      <c r="J297" s="196"/>
    </row>
    <row r="298" spans="1:10" x14ac:dyDescent="0.2">
      <c r="A298" s="196"/>
      <c r="B298" s="195"/>
      <c r="C298" s="195"/>
      <c r="D298" s="195"/>
      <c r="E298" s="195"/>
      <c r="F298" s="195"/>
      <c r="G298" s="196"/>
      <c r="H298" s="196"/>
      <c r="I298" s="196"/>
      <c r="J298" s="196"/>
    </row>
    <row r="299" spans="1:10" x14ac:dyDescent="0.2">
      <c r="A299" s="195" t="s">
        <v>1248</v>
      </c>
      <c r="B299" s="195" t="s">
        <v>1249</v>
      </c>
      <c r="C299" s="195"/>
      <c r="D299" s="195"/>
      <c r="E299" s="195"/>
      <c r="F299" s="195"/>
      <c r="G299" s="195"/>
      <c r="H299" s="196"/>
      <c r="I299" s="196"/>
      <c r="J299" s="196"/>
    </row>
    <row r="300" spans="1:10" x14ac:dyDescent="0.2">
      <c r="A300" s="196"/>
      <c r="B300" s="195" t="s">
        <v>1250</v>
      </c>
      <c r="C300" s="195"/>
      <c r="D300" s="196"/>
      <c r="E300" s="196"/>
      <c r="F300" s="196"/>
      <c r="G300" s="196"/>
      <c r="H300" s="196"/>
      <c r="I300" s="196"/>
      <c r="J300" s="196"/>
    </row>
    <row r="301" spans="1:10" x14ac:dyDescent="0.2">
      <c r="A301" s="196"/>
      <c r="B301" s="195" t="s">
        <v>1251</v>
      </c>
      <c r="C301" s="195"/>
      <c r="D301" s="195"/>
      <c r="E301" s="195"/>
      <c r="F301" s="195"/>
      <c r="G301" s="195"/>
      <c r="H301" s="196"/>
      <c r="I301" s="196"/>
      <c r="J301" s="196"/>
    </row>
    <row r="302" spans="1:10" x14ac:dyDescent="0.2">
      <c r="A302" s="196"/>
      <c r="B302" s="195" t="s">
        <v>1252</v>
      </c>
      <c r="C302" s="195"/>
      <c r="D302" s="195"/>
      <c r="E302" s="196"/>
      <c r="F302" s="196"/>
      <c r="G302" s="196"/>
      <c r="H302" s="196"/>
      <c r="I302" s="196"/>
      <c r="J302" s="196"/>
    </row>
    <row r="303" spans="1:10" x14ac:dyDescent="0.2">
      <c r="A303" s="196"/>
      <c r="B303" s="195" t="s">
        <v>1253</v>
      </c>
      <c r="C303" s="195"/>
      <c r="D303" s="195"/>
      <c r="E303" s="195"/>
      <c r="F303" s="196"/>
      <c r="G303" s="196"/>
      <c r="H303" s="196"/>
      <c r="I303" s="196"/>
      <c r="J303" s="196"/>
    </row>
    <row r="304" spans="1:10" x14ac:dyDescent="0.2">
      <c r="A304" s="196"/>
      <c r="B304" s="196"/>
      <c r="C304" s="196"/>
      <c r="D304" s="196"/>
      <c r="E304" s="196"/>
      <c r="F304" s="196"/>
      <c r="G304" s="196"/>
      <c r="H304" s="196"/>
      <c r="I304" s="196" t="s">
        <v>1226</v>
      </c>
      <c r="J304" s="196"/>
    </row>
    <row r="305" spans="1:10" x14ac:dyDescent="0.2">
      <c r="A305" s="195"/>
      <c r="B305" s="195"/>
      <c r="C305" s="195"/>
      <c r="D305" s="195"/>
      <c r="E305" s="195"/>
      <c r="F305" s="196" t="s">
        <v>225</v>
      </c>
      <c r="G305" s="196" t="s">
        <v>1024</v>
      </c>
      <c r="H305" s="195" t="s">
        <v>1202</v>
      </c>
      <c r="I305" s="196" t="s">
        <v>1262</v>
      </c>
      <c r="J305" s="196"/>
    </row>
    <row r="306" spans="1:10" x14ac:dyDescent="0.2">
      <c r="F306" s="196">
        <v>2023</v>
      </c>
      <c r="G306" s="200">
        <v>60000</v>
      </c>
      <c r="H306" s="73">
        <v>40000</v>
      </c>
      <c r="I306" s="73">
        <f>G306-H306</f>
        <v>20000</v>
      </c>
    </row>
    <row r="307" spans="1:10" x14ac:dyDescent="0.2">
      <c r="F307" s="196">
        <f t="shared" ref="F307:F310" si="6">F306+1</f>
        <v>2024</v>
      </c>
      <c r="G307" s="200">
        <f>G306*(1-10%)</f>
        <v>54000</v>
      </c>
      <c r="H307" s="73">
        <f>H306*(1+1%)</f>
        <v>40400</v>
      </c>
      <c r="I307" s="73">
        <f t="shared" ref="I307:I310" si="7">G307-H307</f>
        <v>13600</v>
      </c>
    </row>
    <row r="308" spans="1:10" x14ac:dyDescent="0.2">
      <c r="F308" s="196">
        <f t="shared" si="6"/>
        <v>2025</v>
      </c>
      <c r="G308" s="200">
        <f t="shared" ref="G308:G310" si="8">G307*(1-10%)</f>
        <v>48600</v>
      </c>
      <c r="H308" s="73">
        <f t="shared" ref="H308:H310" si="9">H307*(1+1%)</f>
        <v>40804</v>
      </c>
      <c r="I308" s="73">
        <f t="shared" si="7"/>
        <v>7796</v>
      </c>
    </row>
    <row r="309" spans="1:10" x14ac:dyDescent="0.2">
      <c r="F309" s="196">
        <f t="shared" si="6"/>
        <v>2026</v>
      </c>
      <c r="G309" s="200">
        <f t="shared" si="8"/>
        <v>43740</v>
      </c>
      <c r="H309" s="73">
        <f t="shared" si="9"/>
        <v>41212.04</v>
      </c>
      <c r="I309" s="73">
        <f t="shared" si="7"/>
        <v>2527.9599999999991</v>
      </c>
    </row>
    <row r="310" spans="1:10" x14ac:dyDescent="0.2">
      <c r="F310" s="196">
        <f t="shared" si="6"/>
        <v>2027</v>
      </c>
      <c r="G310" s="200">
        <f t="shared" si="8"/>
        <v>39366</v>
      </c>
      <c r="H310" s="73">
        <f t="shared" si="9"/>
        <v>41624.160400000001</v>
      </c>
      <c r="I310" s="73">
        <f t="shared" si="7"/>
        <v>-2258.1604000000007</v>
      </c>
    </row>
    <row r="312" spans="1:10" x14ac:dyDescent="0.2">
      <c r="I312" s="201">
        <f>NPV(4%,I306:I310)</f>
        <v>39040.216898594066</v>
      </c>
      <c r="J312" s="1" t="s">
        <v>968</v>
      </c>
    </row>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90B595-A22F-B242-B8A8-92D7EE285EB6}">
  <dimension ref="A1:K181"/>
  <sheetViews>
    <sheetView rightToLeft="1" topLeftCell="A107" zoomScale="230" zoomScaleNormal="230" workbookViewId="0">
      <selection activeCell="A116" sqref="A116:A117"/>
    </sheetView>
  </sheetViews>
  <sheetFormatPr baseColWidth="10" defaultRowHeight="16" x14ac:dyDescent="0.2"/>
  <cols>
    <col min="1" max="1" width="17.33203125" style="1" customWidth="1"/>
    <col min="2" max="2" width="12" style="1" customWidth="1"/>
    <col min="3" max="16384" width="10.83203125" style="1"/>
  </cols>
  <sheetData>
    <row r="1" spans="1:8" x14ac:dyDescent="0.2">
      <c r="A1" s="3" t="s">
        <v>1394</v>
      </c>
      <c r="B1" s="41"/>
      <c r="C1" s="41"/>
      <c r="D1" s="41"/>
      <c r="E1" s="41"/>
      <c r="F1" s="41"/>
      <c r="G1" s="41"/>
      <c r="H1" s="41"/>
    </row>
    <row r="3" spans="1:8" x14ac:dyDescent="0.2">
      <c r="A3" s="205" t="s">
        <v>1296</v>
      </c>
      <c r="B3" s="205"/>
      <c r="C3" s="205"/>
      <c r="D3" s="205"/>
      <c r="E3" s="205"/>
      <c r="F3" s="205"/>
      <c r="G3" s="205"/>
      <c r="H3" s="205"/>
    </row>
    <row r="4" spans="1:8" x14ac:dyDescent="0.2">
      <c r="A4" s="1" t="s">
        <v>1297</v>
      </c>
    </row>
    <row r="5" spans="1:8" x14ac:dyDescent="0.2">
      <c r="A5" s="1" t="s">
        <v>1298</v>
      </c>
    </row>
    <row r="6" spans="1:8" x14ac:dyDescent="0.2">
      <c r="A6" s="1" t="s">
        <v>1299</v>
      </c>
    </row>
    <row r="8" spans="1:8" x14ac:dyDescent="0.2">
      <c r="A8" s="1" t="s">
        <v>1300</v>
      </c>
    </row>
    <row r="10" spans="1:8" x14ac:dyDescent="0.2">
      <c r="A10" s="1" t="s">
        <v>1301</v>
      </c>
    </row>
    <row r="12" spans="1:8" x14ac:dyDescent="0.2">
      <c r="A12" s="205" t="s">
        <v>1302</v>
      </c>
      <c r="B12" s="94"/>
      <c r="C12" s="94"/>
      <c r="D12" s="94"/>
      <c r="E12" s="94"/>
      <c r="F12" s="94"/>
      <c r="G12" s="94"/>
      <c r="H12" s="94"/>
    </row>
    <row r="14" spans="1:8" x14ac:dyDescent="0.2">
      <c r="A14" s="1" t="s">
        <v>1303</v>
      </c>
    </row>
    <row r="15" spans="1:8" x14ac:dyDescent="0.2">
      <c r="A15" s="1" t="s">
        <v>1304</v>
      </c>
    </row>
    <row r="16" spans="1:8" x14ac:dyDescent="0.2">
      <c r="A16" s="1" t="s">
        <v>1305</v>
      </c>
    </row>
    <row r="17" spans="1:6" x14ac:dyDescent="0.2">
      <c r="A17" s="1" t="s">
        <v>1306</v>
      </c>
    </row>
    <row r="18" spans="1:6" x14ac:dyDescent="0.2">
      <c r="A18" s="1" t="s">
        <v>1307</v>
      </c>
    </row>
    <row r="20" spans="1:6" x14ac:dyDescent="0.2">
      <c r="A20" s="1" t="s">
        <v>1308</v>
      </c>
    </row>
    <row r="21" spans="1:6" x14ac:dyDescent="0.2">
      <c r="C21" s="40">
        <v>1</v>
      </c>
      <c r="D21" s="40">
        <v>2</v>
      </c>
    </row>
    <row r="22" spans="1:6" x14ac:dyDescent="0.2">
      <c r="B22" s="1" t="s">
        <v>1024</v>
      </c>
      <c r="C22" s="21">
        <v>500000</v>
      </c>
      <c r="D22" s="21">
        <f>C22</f>
        <v>500000</v>
      </c>
    </row>
    <row r="23" spans="1:6" x14ac:dyDescent="0.2">
      <c r="B23" s="1" t="s">
        <v>1309</v>
      </c>
      <c r="C23" s="21">
        <f>400000/4</f>
        <v>100000</v>
      </c>
      <c r="D23" s="21">
        <f>C23</f>
        <v>100000</v>
      </c>
    </row>
    <row r="24" spans="1:6" x14ac:dyDescent="0.2">
      <c r="B24" s="1" t="s">
        <v>1310</v>
      </c>
      <c r="C24" s="22">
        <f>C22-C23</f>
        <v>400000</v>
      </c>
      <c r="D24" s="22">
        <f>D22-D23</f>
        <v>400000</v>
      </c>
    </row>
    <row r="26" spans="1:6" x14ac:dyDescent="0.2">
      <c r="A26" s="1" t="s">
        <v>1311</v>
      </c>
    </row>
    <row r="27" spans="1:6" x14ac:dyDescent="0.2">
      <c r="C27" s="19">
        <v>1</v>
      </c>
      <c r="D27" s="19">
        <v>2</v>
      </c>
      <c r="F27" s="1" t="s">
        <v>1312</v>
      </c>
    </row>
    <row r="28" spans="1:6" x14ac:dyDescent="0.2">
      <c r="A28" s="1" t="s">
        <v>1313</v>
      </c>
      <c r="C28" s="21">
        <f>C24</f>
        <v>400000</v>
      </c>
      <c r="D28" s="21">
        <f>D24</f>
        <v>400000</v>
      </c>
      <c r="F28" s="1" t="s">
        <v>1314</v>
      </c>
    </row>
    <row r="29" spans="1:6" x14ac:dyDescent="0.2">
      <c r="A29" s="1" t="s">
        <v>1315</v>
      </c>
      <c r="C29" s="21">
        <v>60000</v>
      </c>
      <c r="D29" s="21">
        <v>60000</v>
      </c>
      <c r="F29" s="1" t="s">
        <v>1316</v>
      </c>
    </row>
    <row r="30" spans="1:6" x14ac:dyDescent="0.2">
      <c r="A30" s="1" t="s">
        <v>1317</v>
      </c>
      <c r="C30" s="21">
        <f>C28+C29</f>
        <v>460000</v>
      </c>
      <c r="D30" s="21">
        <f>D28+D29</f>
        <v>460000</v>
      </c>
      <c r="F30" s="1" t="s">
        <v>1318</v>
      </c>
    </row>
    <row r="31" spans="1:6" x14ac:dyDescent="0.2">
      <c r="A31" s="1" t="s">
        <v>1319</v>
      </c>
      <c r="C31" s="183">
        <v>0.3</v>
      </c>
      <c r="D31" s="183">
        <v>0.3</v>
      </c>
    </row>
    <row r="32" spans="1:6" x14ac:dyDescent="0.2">
      <c r="A32" s="1" t="s">
        <v>1320</v>
      </c>
      <c r="C32" s="21">
        <f>C30*C31</f>
        <v>138000</v>
      </c>
      <c r="D32" s="21">
        <f>D30*D31</f>
        <v>138000</v>
      </c>
    </row>
    <row r="34" spans="1:10" x14ac:dyDescent="0.2">
      <c r="A34" s="1" t="s">
        <v>1321</v>
      </c>
    </row>
    <row r="36" spans="1:10" x14ac:dyDescent="0.2">
      <c r="C36" s="1" t="s">
        <v>1322</v>
      </c>
      <c r="G36" s="1" t="s">
        <v>1323</v>
      </c>
    </row>
    <row r="38" spans="1:10" x14ac:dyDescent="0.2">
      <c r="C38" s="19">
        <v>1</v>
      </c>
      <c r="D38" s="19">
        <v>2</v>
      </c>
      <c r="E38" s="19">
        <v>3</v>
      </c>
      <c r="F38" s="19">
        <v>4</v>
      </c>
      <c r="G38" s="19">
        <v>5</v>
      </c>
      <c r="H38" s="19" t="s">
        <v>1324</v>
      </c>
      <c r="I38" s="19">
        <v>9</v>
      </c>
      <c r="J38" s="19">
        <v>10</v>
      </c>
    </row>
    <row r="39" spans="1:10" x14ac:dyDescent="0.2">
      <c r="A39" s="1" t="s">
        <v>1313</v>
      </c>
      <c r="C39" s="21">
        <f>C28</f>
        <v>400000</v>
      </c>
      <c r="D39" s="21">
        <f>D28</f>
        <v>400000</v>
      </c>
      <c r="E39" s="21">
        <f>D39</f>
        <v>400000</v>
      </c>
      <c r="F39" s="21">
        <f>E39</f>
        <v>400000</v>
      </c>
      <c r="G39" s="21">
        <f>C22</f>
        <v>500000</v>
      </c>
      <c r="H39" s="21">
        <f>D22</f>
        <v>500000</v>
      </c>
      <c r="I39" s="21">
        <f>H39</f>
        <v>500000</v>
      </c>
      <c r="J39" s="21">
        <f>I39</f>
        <v>500000</v>
      </c>
    </row>
    <row r="40" spans="1:10" x14ac:dyDescent="0.2">
      <c r="A40" s="1" t="s">
        <v>1325</v>
      </c>
      <c r="C40" s="21">
        <v>60000</v>
      </c>
      <c r="D40" s="21">
        <v>60000</v>
      </c>
      <c r="E40" s="21">
        <v>60000</v>
      </c>
      <c r="F40" s="21">
        <v>60000</v>
      </c>
      <c r="G40" s="21">
        <v>-40000</v>
      </c>
      <c r="H40" s="21">
        <v>-40000</v>
      </c>
      <c r="I40" s="21">
        <v>-40000</v>
      </c>
      <c r="J40" s="21">
        <v>-40000</v>
      </c>
    </row>
    <row r="41" spans="1:10" x14ac:dyDescent="0.2">
      <c r="A41" s="1" t="s">
        <v>1317</v>
      </c>
      <c r="C41" s="21">
        <f>C39+C40</f>
        <v>460000</v>
      </c>
      <c r="D41" s="21">
        <f>D39+D40</f>
        <v>460000</v>
      </c>
      <c r="E41" s="21">
        <f t="shared" ref="E41:F41" si="0">E39+E40</f>
        <v>460000</v>
      </c>
      <c r="F41" s="21">
        <f t="shared" si="0"/>
        <v>460000</v>
      </c>
      <c r="G41" s="21">
        <f>G39+G40</f>
        <v>460000</v>
      </c>
      <c r="H41" s="21">
        <f>H39+H40</f>
        <v>460000</v>
      </c>
      <c r="I41" s="21">
        <f>I39+I40</f>
        <v>460000</v>
      </c>
      <c r="J41" s="21">
        <f>J39+J40</f>
        <v>460000</v>
      </c>
    </row>
    <row r="42" spans="1:10" x14ac:dyDescent="0.2">
      <c r="A42" s="1" t="s">
        <v>1319</v>
      </c>
      <c r="C42" s="183">
        <v>0.3</v>
      </c>
      <c r="D42" s="183">
        <v>0.3</v>
      </c>
      <c r="E42" s="183">
        <v>0.3</v>
      </c>
      <c r="F42" s="183">
        <v>0.3</v>
      </c>
      <c r="G42" s="183">
        <v>0.3</v>
      </c>
      <c r="H42" s="183">
        <v>0.3</v>
      </c>
      <c r="I42" s="183">
        <v>0.3</v>
      </c>
      <c r="J42" s="183">
        <v>0.3</v>
      </c>
    </row>
    <row r="43" spans="1:10" x14ac:dyDescent="0.2">
      <c r="A43" s="1" t="s">
        <v>1320</v>
      </c>
      <c r="C43" s="21">
        <f>C41*C42</f>
        <v>138000</v>
      </c>
      <c r="D43" s="21">
        <f>D41*D42</f>
        <v>138000</v>
      </c>
      <c r="E43" s="21">
        <f t="shared" ref="E43:F43" si="1">E41*E42</f>
        <v>138000</v>
      </c>
      <c r="F43" s="21">
        <f t="shared" si="1"/>
        <v>138000</v>
      </c>
      <c r="G43" s="21">
        <f>G41*G42</f>
        <v>138000</v>
      </c>
      <c r="H43" s="21">
        <f>H41*H42</f>
        <v>138000</v>
      </c>
      <c r="I43" s="21">
        <f>I41*I42</f>
        <v>138000</v>
      </c>
      <c r="J43" s="21">
        <f>J41*J42</f>
        <v>138000</v>
      </c>
    </row>
    <row r="45" spans="1:10" x14ac:dyDescent="0.2">
      <c r="A45" s="1" t="s">
        <v>1395</v>
      </c>
    </row>
    <row r="46" spans="1:10" x14ac:dyDescent="0.2">
      <c r="A46" s="1">
        <f>138*4-120*4</f>
        <v>72</v>
      </c>
      <c r="C46" s="1" t="s">
        <v>1326</v>
      </c>
      <c r="G46" s="1" t="s">
        <v>1327</v>
      </c>
    </row>
    <row r="47" spans="1:10" x14ac:dyDescent="0.2">
      <c r="C47" s="1" t="s">
        <v>1328</v>
      </c>
      <c r="G47" s="1" t="s">
        <v>1328</v>
      </c>
    </row>
    <row r="48" spans="1:10" x14ac:dyDescent="0.2">
      <c r="A48" s="1" t="s">
        <v>1396</v>
      </c>
      <c r="C48" s="1" t="s">
        <v>1329</v>
      </c>
      <c r="G48" s="1" t="s">
        <v>1330</v>
      </c>
    </row>
    <row r="49" spans="1:8" x14ac:dyDescent="0.2">
      <c r="A49" s="1">
        <f>150*6-138*6</f>
        <v>72</v>
      </c>
    </row>
    <row r="51" spans="1:8" x14ac:dyDescent="0.2">
      <c r="A51" s="1" t="s">
        <v>1331</v>
      </c>
    </row>
    <row r="52" spans="1:8" x14ac:dyDescent="0.2">
      <c r="A52" s="1" t="s">
        <v>1332</v>
      </c>
    </row>
    <row r="54" spans="1:8" x14ac:dyDescent="0.2">
      <c r="A54" s="1" t="s">
        <v>1333</v>
      </c>
    </row>
    <row r="56" spans="1:8" x14ac:dyDescent="0.2">
      <c r="A56" s="1" t="s">
        <v>1334</v>
      </c>
    </row>
    <row r="57" spans="1:8" x14ac:dyDescent="0.2">
      <c r="A57" s="1" t="s">
        <v>1335</v>
      </c>
    </row>
    <row r="59" spans="1:8" x14ac:dyDescent="0.2">
      <c r="A59" s="205" t="s">
        <v>1336</v>
      </c>
      <c r="B59" s="94"/>
      <c r="C59" s="94"/>
      <c r="D59" s="94"/>
      <c r="E59" s="94"/>
      <c r="F59" s="94"/>
      <c r="G59" s="94"/>
      <c r="H59" s="94"/>
    </row>
    <row r="61" spans="1:8" x14ac:dyDescent="0.2">
      <c r="A61" s="1" t="s">
        <v>1397</v>
      </c>
    </row>
    <row r="62" spans="1:8" x14ac:dyDescent="0.2">
      <c r="A62" s="1" t="s">
        <v>1337</v>
      </c>
    </row>
    <row r="64" spans="1:8" x14ac:dyDescent="0.2">
      <c r="A64" s="1" t="s">
        <v>1338</v>
      </c>
    </row>
    <row r="65" spans="1:11" x14ac:dyDescent="0.2">
      <c r="A65" s="1" t="s">
        <v>1398</v>
      </c>
    </row>
    <row r="66" spans="1:11" x14ac:dyDescent="0.2">
      <c r="B66" s="40">
        <v>1</v>
      </c>
      <c r="C66" s="40">
        <v>2</v>
      </c>
      <c r="D66" s="40">
        <v>3</v>
      </c>
      <c r="E66" s="40">
        <v>4</v>
      </c>
      <c r="F66" s="40">
        <v>5</v>
      </c>
      <c r="G66" s="40">
        <v>6</v>
      </c>
      <c r="H66" s="40">
        <v>7</v>
      </c>
      <c r="I66" s="40">
        <v>8</v>
      </c>
      <c r="J66" s="40">
        <v>9</v>
      </c>
      <c r="K66" s="40">
        <v>10</v>
      </c>
    </row>
    <row r="67" spans="1:11" x14ac:dyDescent="0.2">
      <c r="A67" s="1" t="s">
        <v>99</v>
      </c>
      <c r="B67" s="21">
        <f>400*(4-B66)/4</f>
        <v>300</v>
      </c>
      <c r="C67" s="21">
        <f t="shared" ref="C67:E67" si="2">400*(4-C66)/4</f>
        <v>200</v>
      </c>
      <c r="D67" s="21">
        <f t="shared" si="2"/>
        <v>100</v>
      </c>
      <c r="E67" s="21">
        <f t="shared" si="2"/>
        <v>0</v>
      </c>
      <c r="F67" s="21">
        <f>E67</f>
        <v>0</v>
      </c>
      <c r="G67" s="21">
        <f>F67</f>
        <v>0</v>
      </c>
      <c r="H67" s="21">
        <v>0</v>
      </c>
      <c r="I67" s="21">
        <v>0</v>
      </c>
      <c r="J67" s="21">
        <v>0</v>
      </c>
      <c r="K67" s="21">
        <v>0</v>
      </c>
    </row>
    <row r="68" spans="1:11" x14ac:dyDescent="0.2">
      <c r="A68" s="1" t="s">
        <v>1054</v>
      </c>
      <c r="B68" s="21">
        <f>400*(10-B66)/10</f>
        <v>360</v>
      </c>
      <c r="C68" s="21">
        <f t="shared" ref="C68:F68" si="3">400*(10-C66)/10</f>
        <v>320</v>
      </c>
      <c r="D68" s="21">
        <f t="shared" si="3"/>
        <v>280</v>
      </c>
      <c r="E68" s="21">
        <f t="shared" si="3"/>
        <v>240</v>
      </c>
      <c r="F68" s="21">
        <f t="shared" si="3"/>
        <v>200</v>
      </c>
      <c r="G68" s="21">
        <f t="shared" ref="G68:K68" si="4">400*(10-G66)/10</f>
        <v>160</v>
      </c>
      <c r="H68" s="21">
        <f t="shared" si="4"/>
        <v>120</v>
      </c>
      <c r="I68" s="21">
        <f t="shared" si="4"/>
        <v>80</v>
      </c>
      <c r="J68" s="21">
        <f t="shared" si="4"/>
        <v>40</v>
      </c>
      <c r="K68" s="21">
        <f t="shared" si="4"/>
        <v>0</v>
      </c>
    </row>
    <row r="69" spans="1:11" x14ac:dyDescent="0.2">
      <c r="A69" s="1" t="s">
        <v>1339</v>
      </c>
      <c r="B69" s="21">
        <f>B67-B68</f>
        <v>-60</v>
      </c>
      <c r="C69" s="21">
        <f t="shared" ref="C69:H69" si="5">C67-C68</f>
        <v>-120</v>
      </c>
      <c r="D69" s="21">
        <f t="shared" si="5"/>
        <v>-180</v>
      </c>
      <c r="E69" s="21">
        <f t="shared" si="5"/>
        <v>-240</v>
      </c>
      <c r="F69" s="21">
        <f t="shared" si="5"/>
        <v>-200</v>
      </c>
      <c r="G69" s="21">
        <f t="shared" si="5"/>
        <v>-160</v>
      </c>
      <c r="H69" s="21">
        <f t="shared" si="5"/>
        <v>-120</v>
      </c>
      <c r="I69" s="21">
        <f t="shared" ref="I69" si="6">I67-I68</f>
        <v>-80</v>
      </c>
      <c r="J69" s="21">
        <f t="shared" ref="J69" si="7">J67-J68</f>
        <v>-40</v>
      </c>
      <c r="K69" s="21">
        <f t="shared" ref="K69" si="8">K67-K68</f>
        <v>0</v>
      </c>
    </row>
    <row r="70" spans="1:11" x14ac:dyDescent="0.2">
      <c r="A70" s="1" t="s">
        <v>1056</v>
      </c>
      <c r="B70" s="183">
        <v>0.3</v>
      </c>
      <c r="C70" s="183">
        <f>B70</f>
        <v>0.3</v>
      </c>
      <c r="D70" s="183">
        <f t="shared" ref="D70:F70" si="9">C70</f>
        <v>0.3</v>
      </c>
      <c r="E70" s="183">
        <f t="shared" si="9"/>
        <v>0.3</v>
      </c>
      <c r="F70" s="183">
        <f t="shared" si="9"/>
        <v>0.3</v>
      </c>
      <c r="G70" s="183">
        <f t="shared" ref="G70:H70" si="10">F70</f>
        <v>0.3</v>
      </c>
      <c r="H70" s="183">
        <f t="shared" si="10"/>
        <v>0.3</v>
      </c>
      <c r="I70" s="183">
        <f t="shared" ref="I70:K70" si="11">H70</f>
        <v>0.3</v>
      </c>
      <c r="J70" s="183">
        <f t="shared" si="11"/>
        <v>0.3</v>
      </c>
      <c r="K70" s="183">
        <f t="shared" si="11"/>
        <v>0.3</v>
      </c>
    </row>
    <row r="71" spans="1:11" x14ac:dyDescent="0.2">
      <c r="A71" s="1" t="s">
        <v>1340</v>
      </c>
      <c r="B71" s="22">
        <f>B69*-B70</f>
        <v>18</v>
      </c>
      <c r="C71" s="22">
        <f t="shared" ref="C71:H71" si="12">C69*-C70</f>
        <v>36</v>
      </c>
      <c r="D71" s="22">
        <f t="shared" si="12"/>
        <v>54</v>
      </c>
      <c r="E71" s="22">
        <f t="shared" si="12"/>
        <v>72</v>
      </c>
      <c r="F71" s="22">
        <f t="shared" si="12"/>
        <v>60</v>
      </c>
      <c r="G71" s="22">
        <f t="shared" si="12"/>
        <v>48</v>
      </c>
      <c r="H71" s="22">
        <f t="shared" si="12"/>
        <v>36</v>
      </c>
      <c r="I71" s="22">
        <f t="shared" ref="I71" si="13">I69*-I70</f>
        <v>24</v>
      </c>
      <c r="J71" s="22">
        <f t="shared" ref="J71" si="14">J69*-J70</f>
        <v>12</v>
      </c>
      <c r="K71" s="22">
        <f t="shared" ref="K71" si="15">K69*-K70</f>
        <v>0</v>
      </c>
    </row>
    <row r="73" spans="1:11" x14ac:dyDescent="0.2">
      <c r="A73" s="1" t="s">
        <v>1341</v>
      </c>
    </row>
    <row r="74" spans="1:11" x14ac:dyDescent="0.2">
      <c r="A74" s="2" t="s">
        <v>1342</v>
      </c>
    </row>
    <row r="75" spans="1:11" x14ac:dyDescent="0.2">
      <c r="A75" s="2" t="s">
        <v>1343</v>
      </c>
    </row>
    <row r="76" spans="1:11" x14ac:dyDescent="0.2">
      <c r="A76" s="2" t="s">
        <v>1344</v>
      </c>
    </row>
    <row r="77" spans="1:11" ht="17" thickBot="1" x14ac:dyDescent="0.25"/>
    <row r="78" spans="1:11" ht="17" thickBot="1" x14ac:dyDescent="0.25">
      <c r="A78" s="16" t="s">
        <v>1345</v>
      </c>
      <c r="B78" s="17"/>
      <c r="C78" s="17"/>
      <c r="D78" s="17"/>
      <c r="E78" s="17"/>
      <c r="F78" s="17"/>
      <c r="G78" s="17"/>
      <c r="H78" s="18"/>
    </row>
    <row r="80" spans="1:11" x14ac:dyDescent="0.2">
      <c r="A80" s="1" t="s">
        <v>1346</v>
      </c>
    </row>
    <row r="81" spans="1:1" x14ac:dyDescent="0.2">
      <c r="A81" s="1" t="s">
        <v>1347</v>
      </c>
    </row>
    <row r="82" spans="1:1" x14ac:dyDescent="0.2">
      <c r="A82" s="1" t="s">
        <v>1348</v>
      </c>
    </row>
    <row r="83" spans="1:1" x14ac:dyDescent="0.2">
      <c r="A83" s="1" t="s">
        <v>1349</v>
      </c>
    </row>
    <row r="85" spans="1:1" x14ac:dyDescent="0.2">
      <c r="A85" s="1" t="s">
        <v>1350</v>
      </c>
    </row>
    <row r="86" spans="1:1" x14ac:dyDescent="0.2">
      <c r="A86" s="1" t="s">
        <v>1351</v>
      </c>
    </row>
    <row r="87" spans="1:1" x14ac:dyDescent="0.2">
      <c r="A87" s="1" t="s">
        <v>1352</v>
      </c>
    </row>
    <row r="89" spans="1:1" x14ac:dyDescent="0.2">
      <c r="A89" s="1" t="s">
        <v>1353</v>
      </c>
    </row>
    <row r="90" spans="1:1" x14ac:dyDescent="0.2">
      <c r="A90" s="1" t="s">
        <v>1354</v>
      </c>
    </row>
    <row r="91" spans="1:1" x14ac:dyDescent="0.2">
      <c r="A91" s="1" t="s">
        <v>1355</v>
      </c>
    </row>
    <row r="93" spans="1:1" x14ac:dyDescent="0.2">
      <c r="A93" s="1" t="s">
        <v>1356</v>
      </c>
    </row>
    <row r="95" spans="1:1" x14ac:dyDescent="0.2">
      <c r="A95" s="1" t="s">
        <v>1357</v>
      </c>
    </row>
    <row r="97" spans="1:9" x14ac:dyDescent="0.2">
      <c r="A97" s="1" t="s">
        <v>1358</v>
      </c>
    </row>
    <row r="98" spans="1:9" x14ac:dyDescent="0.2">
      <c r="A98" s="1" t="s">
        <v>1359</v>
      </c>
    </row>
    <row r="100" spans="1:9" x14ac:dyDescent="0.2">
      <c r="B100" s="41"/>
      <c r="C100" s="19" t="s">
        <v>893</v>
      </c>
      <c r="D100" s="69" t="s">
        <v>1360</v>
      </c>
      <c r="E100" s="19" t="s">
        <v>893</v>
      </c>
      <c r="F100" s="69" t="s">
        <v>1360</v>
      </c>
      <c r="G100" s="69"/>
    </row>
    <row r="101" spans="1:9" x14ac:dyDescent="0.2">
      <c r="B101" s="206">
        <v>41274</v>
      </c>
      <c r="C101" s="36">
        <v>41639</v>
      </c>
      <c r="D101" s="206">
        <v>41639</v>
      </c>
      <c r="E101" s="36">
        <v>42004</v>
      </c>
      <c r="F101" s="206">
        <v>42004</v>
      </c>
      <c r="G101" s="206">
        <v>42369</v>
      </c>
    </row>
    <row r="102" spans="1:9" x14ac:dyDescent="0.2">
      <c r="A102" s="1" t="s">
        <v>95</v>
      </c>
      <c r="B102" s="38">
        <v>100000</v>
      </c>
      <c r="C102" s="38">
        <f>B102</f>
        <v>100000</v>
      </c>
      <c r="D102" s="38">
        <f>C102</f>
        <v>100000</v>
      </c>
      <c r="E102" s="38">
        <f>D102</f>
        <v>100000</v>
      </c>
      <c r="F102" s="38">
        <f>E102</f>
        <v>100000</v>
      </c>
      <c r="G102" s="38">
        <f>F102</f>
        <v>100000</v>
      </c>
    </row>
    <row r="103" spans="1:9" x14ac:dyDescent="0.2">
      <c r="A103" s="1" t="s">
        <v>96</v>
      </c>
      <c r="B103" s="38">
        <f>B102/10</f>
        <v>10000</v>
      </c>
      <c r="C103" s="38">
        <f>B103+C107</f>
        <v>20000</v>
      </c>
      <c r="D103" s="38">
        <f>C103</f>
        <v>20000</v>
      </c>
      <c r="E103" s="38">
        <f>D103+E107+D104/8</f>
        <v>30000</v>
      </c>
      <c r="F103" s="38">
        <f>E103</f>
        <v>30000</v>
      </c>
      <c r="G103" s="38">
        <f>F103+G107+F104/7</f>
        <v>40000</v>
      </c>
    </row>
    <row r="104" spans="1:9" x14ac:dyDescent="0.2">
      <c r="A104" s="1" t="s">
        <v>718</v>
      </c>
      <c r="B104" s="19"/>
      <c r="C104" s="19"/>
      <c r="D104" s="38">
        <f>D108</f>
        <v>8000</v>
      </c>
      <c r="E104" s="38">
        <f>D104*7/8</f>
        <v>7000</v>
      </c>
      <c r="F104" s="38">
        <f>E104+F108</f>
        <v>30000</v>
      </c>
      <c r="G104" s="38">
        <f>F104*6/7</f>
        <v>25714.285714285714</v>
      </c>
    </row>
    <row r="105" spans="1:9" x14ac:dyDescent="0.2">
      <c r="A105" s="1" t="s">
        <v>99</v>
      </c>
      <c r="B105" s="39">
        <f>B102-B103</f>
        <v>90000</v>
      </c>
      <c r="C105" s="39">
        <f>C102-C103</f>
        <v>80000</v>
      </c>
      <c r="D105" s="39">
        <f>MAX(72000,68000)</f>
        <v>72000</v>
      </c>
      <c r="E105" s="39">
        <f>E102-E103-E104</f>
        <v>63000</v>
      </c>
      <c r="F105" s="39">
        <f>MAX(40000,35000)</f>
        <v>40000</v>
      </c>
      <c r="G105" s="39">
        <f>G102-G103-G104</f>
        <v>34285.71428571429</v>
      </c>
    </row>
    <row r="106" spans="1:9" x14ac:dyDescent="0.2">
      <c r="B106" s="38"/>
      <c r="C106" s="38"/>
      <c r="D106" s="38"/>
      <c r="E106" s="38"/>
      <c r="F106" s="38"/>
      <c r="G106" s="38"/>
    </row>
    <row r="107" spans="1:9" x14ac:dyDescent="0.2">
      <c r="A107" s="1" t="s">
        <v>100</v>
      </c>
      <c r="B107" s="38">
        <f>B103</f>
        <v>10000</v>
      </c>
      <c r="C107" s="38">
        <f>B107</f>
        <v>10000</v>
      </c>
      <c r="D107" s="38">
        <f>C107</f>
        <v>10000</v>
      </c>
      <c r="E107" s="38">
        <f>D105/8</f>
        <v>9000</v>
      </c>
      <c r="F107" s="38">
        <f>E107</f>
        <v>9000</v>
      </c>
      <c r="G107" s="38">
        <f>F105/7</f>
        <v>5714.2857142857147</v>
      </c>
    </row>
    <row r="108" spans="1:9" x14ac:dyDescent="0.2">
      <c r="A108" s="1" t="s">
        <v>891</v>
      </c>
      <c r="B108" s="38"/>
      <c r="C108" s="38"/>
      <c r="D108" s="38">
        <f>C105-D105</f>
        <v>8000</v>
      </c>
      <c r="E108" s="38"/>
      <c r="F108" s="38">
        <f>E105-F105</f>
        <v>23000</v>
      </c>
      <c r="G108" s="38"/>
    </row>
    <row r="109" spans="1:9" x14ac:dyDescent="0.2">
      <c r="B109" s="38"/>
      <c r="C109" s="38"/>
      <c r="D109" s="38"/>
      <c r="E109" s="38"/>
      <c r="F109" s="38"/>
      <c r="G109" s="38"/>
      <c r="I109" s="1" t="s">
        <v>1399</v>
      </c>
    </row>
    <row r="110" spans="1:9" x14ac:dyDescent="0.2">
      <c r="A110" s="1" t="s">
        <v>1340</v>
      </c>
      <c r="B110" s="38"/>
      <c r="C110" s="100"/>
      <c r="D110" s="38">
        <f>D120</f>
        <v>2400</v>
      </c>
      <c r="E110" s="100"/>
      <c r="F110" s="38">
        <f>F120</f>
        <v>9000</v>
      </c>
      <c r="G110" s="21">
        <f>G120</f>
        <v>7714.2857142857129</v>
      </c>
      <c r="I110" s="1" t="s">
        <v>1361</v>
      </c>
    </row>
    <row r="111" spans="1:9" x14ac:dyDescent="0.2">
      <c r="A111" s="1" t="s">
        <v>1362</v>
      </c>
      <c r="B111" s="38"/>
      <c r="C111" s="100"/>
      <c r="D111" s="38">
        <f>D110</f>
        <v>2400</v>
      </c>
      <c r="E111" s="100"/>
      <c r="F111" s="38">
        <f>F110-D110</f>
        <v>6600</v>
      </c>
      <c r="I111" s="1" t="s">
        <v>1363</v>
      </c>
    </row>
    <row r="112" spans="1:9" x14ac:dyDescent="0.2">
      <c r="A112" s="1" t="s">
        <v>1364</v>
      </c>
      <c r="B112" s="38"/>
      <c r="C112" s="100"/>
      <c r="D112" s="38"/>
      <c r="E112" s="100"/>
      <c r="F112" s="38"/>
      <c r="G112" s="38">
        <f>F110-G110</f>
        <v>1285.7142857142871</v>
      </c>
      <c r="I112" s="1" t="s">
        <v>1365</v>
      </c>
    </row>
    <row r="114" spans="1:9" x14ac:dyDescent="0.2">
      <c r="A114" s="1" t="s">
        <v>1366</v>
      </c>
      <c r="D114" s="1" t="s">
        <v>1360</v>
      </c>
      <c r="F114" s="1" t="s">
        <v>1360</v>
      </c>
      <c r="I114" s="1" t="s">
        <v>1367</v>
      </c>
    </row>
    <row r="115" spans="1:9" x14ac:dyDescent="0.2">
      <c r="B115" s="36">
        <v>41274</v>
      </c>
      <c r="D115" s="36">
        <v>41639</v>
      </c>
      <c r="F115" s="36">
        <v>42004</v>
      </c>
      <c r="G115" s="36">
        <v>42369</v>
      </c>
      <c r="I115" s="1" t="s">
        <v>1368</v>
      </c>
    </row>
    <row r="116" spans="1:9" x14ac:dyDescent="0.2">
      <c r="A116" s="1" t="s">
        <v>1369</v>
      </c>
      <c r="B116" s="38">
        <v>90000</v>
      </c>
      <c r="D116" s="38">
        <f>D105</f>
        <v>72000</v>
      </c>
      <c r="F116" s="38">
        <f>F105</f>
        <v>40000</v>
      </c>
      <c r="G116" s="38">
        <f>G105</f>
        <v>34285.71428571429</v>
      </c>
      <c r="I116" s="1" t="s">
        <v>1370</v>
      </c>
    </row>
    <row r="117" spans="1:9" x14ac:dyDescent="0.2">
      <c r="A117" s="1" t="s">
        <v>1371</v>
      </c>
      <c r="B117" s="38">
        <f>B116</f>
        <v>90000</v>
      </c>
      <c r="D117" s="38">
        <f>C105</f>
        <v>80000</v>
      </c>
      <c r="F117" s="38">
        <f>100000*7/10</f>
        <v>70000</v>
      </c>
      <c r="G117" s="38">
        <f>100000*6/10</f>
        <v>60000</v>
      </c>
    </row>
    <row r="118" spans="1:9" x14ac:dyDescent="0.2">
      <c r="A118" s="1" t="s">
        <v>1339</v>
      </c>
      <c r="B118" s="22">
        <f>B116-B117</f>
        <v>0</v>
      </c>
      <c r="D118" s="22">
        <f>D116-D117</f>
        <v>-8000</v>
      </c>
      <c r="F118" s="22">
        <f>F116-F117</f>
        <v>-30000</v>
      </c>
      <c r="G118" s="22">
        <f>G116-G117</f>
        <v>-25714.28571428571</v>
      </c>
    </row>
    <row r="119" spans="1:9" x14ac:dyDescent="0.2">
      <c r="A119" s="1" t="s">
        <v>1056</v>
      </c>
      <c r="B119" s="183">
        <v>0.3</v>
      </c>
      <c r="D119" s="183">
        <v>0.3</v>
      </c>
      <c r="F119" s="183">
        <v>0.3</v>
      </c>
      <c r="G119" s="183">
        <v>0.3</v>
      </c>
    </row>
    <row r="120" spans="1:9" x14ac:dyDescent="0.2">
      <c r="A120" s="1" t="s">
        <v>1340</v>
      </c>
      <c r="B120" s="22">
        <f>-B118*B119</f>
        <v>0</v>
      </c>
      <c r="D120" s="22">
        <f>-D119*D118</f>
        <v>2400</v>
      </c>
      <c r="F120" s="22">
        <f>-F119*F118</f>
        <v>9000</v>
      </c>
      <c r="G120" s="22">
        <f>-G119*G118</f>
        <v>7714.2857142857129</v>
      </c>
    </row>
    <row r="125" spans="1:9" x14ac:dyDescent="0.2">
      <c r="A125" s="1" t="s">
        <v>1371</v>
      </c>
      <c r="B125" s="1" t="s">
        <v>1372</v>
      </c>
    </row>
    <row r="126" spans="1:9" x14ac:dyDescent="0.2">
      <c r="B126" s="1" t="s">
        <v>1373</v>
      </c>
    </row>
    <row r="127" spans="1:9" x14ac:dyDescent="0.2">
      <c r="B127" s="1" t="s">
        <v>1374</v>
      </c>
    </row>
    <row r="129" spans="1:8" x14ac:dyDescent="0.2">
      <c r="A129" s="1" t="s">
        <v>1339</v>
      </c>
      <c r="B129" s="1" t="s">
        <v>1375</v>
      </c>
    </row>
    <row r="130" spans="1:8" x14ac:dyDescent="0.2">
      <c r="B130" s="1" t="s">
        <v>1376</v>
      </c>
    </row>
    <row r="131" spans="1:8" x14ac:dyDescent="0.2">
      <c r="B131" s="1" t="s">
        <v>1377</v>
      </c>
    </row>
    <row r="132" spans="1:8" x14ac:dyDescent="0.2">
      <c r="B132" s="1" t="s">
        <v>1378</v>
      </c>
    </row>
    <row r="133" spans="1:8" x14ac:dyDescent="0.2">
      <c r="B133" s="1" t="s">
        <v>1379</v>
      </c>
    </row>
    <row r="134" spans="1:8" ht="17" thickBot="1" x14ac:dyDescent="0.25"/>
    <row r="135" spans="1:8" ht="17" thickBot="1" x14ac:dyDescent="0.25">
      <c r="A135" s="16" t="s">
        <v>1380</v>
      </c>
      <c r="B135" s="17"/>
      <c r="C135" s="17"/>
      <c r="D135" s="17"/>
      <c r="E135" s="17"/>
      <c r="F135" s="17"/>
      <c r="G135" s="17"/>
      <c r="H135" s="18"/>
    </row>
    <row r="137" spans="1:8" x14ac:dyDescent="0.2">
      <c r="A137" s="1" t="s">
        <v>1381</v>
      </c>
    </row>
    <row r="138" spans="1:8" x14ac:dyDescent="0.2">
      <c r="A138" s="1" t="s">
        <v>1382</v>
      </c>
    </row>
    <row r="140" spans="1:8" x14ac:dyDescent="0.2">
      <c r="A140" s="1" t="s">
        <v>1383</v>
      </c>
    </row>
    <row r="141" spans="1:8" x14ac:dyDescent="0.2">
      <c r="A141" s="1" t="s">
        <v>1384</v>
      </c>
    </row>
    <row r="142" spans="1:8" x14ac:dyDescent="0.2">
      <c r="A142" s="1" t="s">
        <v>1385</v>
      </c>
    </row>
    <row r="143" spans="1:8" x14ac:dyDescent="0.2">
      <c r="A143" s="1" t="s">
        <v>1386</v>
      </c>
    </row>
    <row r="144" spans="1:8" x14ac:dyDescent="0.2">
      <c r="A144" s="1" t="s">
        <v>1387</v>
      </c>
    </row>
    <row r="145" spans="1:11" x14ac:dyDescent="0.2">
      <c r="A145" s="1" t="s">
        <v>1388</v>
      </c>
    </row>
    <row r="146" spans="1:11" x14ac:dyDescent="0.2">
      <c r="A146" s="1" t="s">
        <v>1389</v>
      </c>
      <c r="G146" s="1" t="s">
        <v>1400</v>
      </c>
    </row>
    <row r="148" spans="1:11" x14ac:dyDescent="0.2">
      <c r="B148" s="205" t="s">
        <v>922</v>
      </c>
      <c r="C148" s="205" t="s">
        <v>1390</v>
      </c>
      <c r="D148" s="94"/>
    </row>
    <row r="149" spans="1:11" x14ac:dyDescent="0.2">
      <c r="A149" s="35">
        <v>40543</v>
      </c>
      <c r="B149" s="73">
        <v>65000</v>
      </c>
      <c r="C149" s="73">
        <v>30000</v>
      </c>
    </row>
    <row r="150" spans="1:11" x14ac:dyDescent="0.2">
      <c r="A150" s="35">
        <v>40908</v>
      </c>
      <c r="B150" s="73">
        <v>90000</v>
      </c>
      <c r="C150" s="73">
        <v>88000</v>
      </c>
    </row>
    <row r="151" spans="1:11" x14ac:dyDescent="0.2">
      <c r="A151" s="35">
        <v>41274</v>
      </c>
      <c r="B151" s="73">
        <v>44000</v>
      </c>
      <c r="C151" s="73">
        <v>32000</v>
      </c>
    </row>
    <row r="152" spans="1:11" x14ac:dyDescent="0.2">
      <c r="A152" s="35">
        <v>41639</v>
      </c>
      <c r="B152" s="73">
        <v>25000</v>
      </c>
      <c r="C152" s="73">
        <v>23000</v>
      </c>
    </row>
    <row r="153" spans="1:11" x14ac:dyDescent="0.2">
      <c r="A153" s="35">
        <v>42004</v>
      </c>
      <c r="B153" s="73">
        <v>62000</v>
      </c>
      <c r="C153" s="73">
        <v>43000</v>
      </c>
    </row>
    <row r="155" spans="1:11" x14ac:dyDescent="0.2">
      <c r="A155" s="1" t="s">
        <v>1391</v>
      </c>
    </row>
    <row r="157" spans="1:11" x14ac:dyDescent="0.2">
      <c r="A157" s="1" t="s">
        <v>1392</v>
      </c>
    </row>
    <row r="158" spans="1:11" x14ac:dyDescent="0.2">
      <c r="B158" s="19" t="s">
        <v>927</v>
      </c>
      <c r="C158" s="19" t="s">
        <v>928</v>
      </c>
      <c r="D158" s="19" t="s">
        <v>927</v>
      </c>
      <c r="E158" s="19" t="s">
        <v>928</v>
      </c>
      <c r="F158" s="19" t="s">
        <v>927</v>
      </c>
      <c r="G158" s="19" t="s">
        <v>928</v>
      </c>
      <c r="H158" s="19" t="s">
        <v>927</v>
      </c>
      <c r="I158" s="19" t="s">
        <v>928</v>
      </c>
      <c r="J158" s="19" t="s">
        <v>927</v>
      </c>
      <c r="K158" s="19" t="s">
        <v>928</v>
      </c>
    </row>
    <row r="159" spans="1:11" x14ac:dyDescent="0.2">
      <c r="B159" s="36">
        <v>40543</v>
      </c>
      <c r="C159" s="36">
        <v>40543</v>
      </c>
      <c r="D159" s="36">
        <v>40908</v>
      </c>
      <c r="E159" s="36">
        <v>40908</v>
      </c>
      <c r="F159" s="36">
        <v>41274</v>
      </c>
      <c r="G159" s="36">
        <v>41274</v>
      </c>
      <c r="H159" s="36">
        <v>41639</v>
      </c>
      <c r="I159" s="36">
        <v>41639</v>
      </c>
      <c r="J159" s="36">
        <v>42004</v>
      </c>
      <c r="K159" s="36">
        <v>42004</v>
      </c>
    </row>
    <row r="160" spans="1:11" x14ac:dyDescent="0.2">
      <c r="A160" s="1" t="s">
        <v>95</v>
      </c>
      <c r="B160" s="21">
        <v>80000</v>
      </c>
      <c r="C160" s="21">
        <f>B160</f>
        <v>80000</v>
      </c>
      <c r="D160" s="21">
        <f t="shared" ref="D160:G160" si="16">C160</f>
        <v>80000</v>
      </c>
      <c r="E160" s="21">
        <f t="shared" si="16"/>
        <v>80000</v>
      </c>
      <c r="F160" s="21">
        <f t="shared" si="16"/>
        <v>80000</v>
      </c>
      <c r="G160" s="21">
        <f t="shared" si="16"/>
        <v>80000</v>
      </c>
      <c r="H160" s="21">
        <f>G160</f>
        <v>80000</v>
      </c>
      <c r="I160" s="21">
        <f>G160</f>
        <v>80000</v>
      </c>
      <c r="J160" s="21">
        <f>I160</f>
        <v>80000</v>
      </c>
      <c r="K160" s="21">
        <f>J160</f>
        <v>80000</v>
      </c>
    </row>
    <row r="161" spans="1:11" x14ac:dyDescent="0.2">
      <c r="A161" s="1" t="s">
        <v>96</v>
      </c>
      <c r="B161" s="21">
        <f>B165</f>
        <v>8000</v>
      </c>
      <c r="C161" s="21">
        <f>B161</f>
        <v>8000</v>
      </c>
      <c r="D161" s="21">
        <f>C161+D165+C162/9</f>
        <v>16000</v>
      </c>
      <c r="E161" s="21">
        <f>D161</f>
        <v>16000</v>
      </c>
      <c r="F161" s="21">
        <f>E161+F165</f>
        <v>24000</v>
      </c>
      <c r="G161" s="21">
        <f>F161</f>
        <v>24000</v>
      </c>
      <c r="H161" s="21">
        <f>G161+H165+G162/7</f>
        <v>32000</v>
      </c>
      <c r="I161" s="21">
        <f>H161</f>
        <v>32000</v>
      </c>
      <c r="J161" s="21">
        <f>I161+J165+I162/6</f>
        <v>40000</v>
      </c>
      <c r="K161" s="21">
        <f>J161</f>
        <v>40000</v>
      </c>
    </row>
    <row r="162" spans="1:11" x14ac:dyDescent="0.2">
      <c r="A162" s="1" t="s">
        <v>718</v>
      </c>
      <c r="B162" s="21">
        <v>0</v>
      </c>
      <c r="C162" s="21">
        <f>C166</f>
        <v>7000</v>
      </c>
      <c r="D162" s="21">
        <f>C162-C162/9</f>
        <v>6222.2222222222226</v>
      </c>
      <c r="E162" s="21">
        <v>0</v>
      </c>
      <c r="F162" s="21">
        <v>0</v>
      </c>
      <c r="G162" s="21">
        <f>G166</f>
        <v>12000</v>
      </c>
      <c r="H162" s="21">
        <f>G162-G162/7</f>
        <v>10285.714285714286</v>
      </c>
      <c r="I162" s="21">
        <f>H162+I166</f>
        <v>22999.999999999996</v>
      </c>
      <c r="J162" s="21">
        <f>I162-I162/6</f>
        <v>19166.666666666664</v>
      </c>
      <c r="K162" s="21">
        <v>0</v>
      </c>
    </row>
    <row r="163" spans="1:11" x14ac:dyDescent="0.2">
      <c r="A163" s="1" t="s">
        <v>99</v>
      </c>
      <c r="B163" s="21">
        <f>B160-B161-B162</f>
        <v>72000</v>
      </c>
      <c r="C163" s="21">
        <f>MAX(B149:C149)</f>
        <v>65000</v>
      </c>
      <c r="D163" s="21">
        <f>D160-D161-D162</f>
        <v>57777.777777777781</v>
      </c>
      <c r="E163" s="21">
        <f>E160-E161-E162</f>
        <v>64000</v>
      </c>
      <c r="F163" s="21">
        <f>F160-F161-F162</f>
        <v>56000</v>
      </c>
      <c r="G163" s="21">
        <f>MAX(B151:C151)</f>
        <v>44000</v>
      </c>
      <c r="H163" s="21">
        <f>H160-H161-H162</f>
        <v>37714.28571428571</v>
      </c>
      <c r="I163" s="21">
        <f>MAX(B152:C152)</f>
        <v>25000</v>
      </c>
      <c r="J163" s="21">
        <f>J160-J161-J162</f>
        <v>20833.333333333336</v>
      </c>
      <c r="K163" s="21">
        <f>K160-K161-K162</f>
        <v>40000</v>
      </c>
    </row>
    <row r="164" spans="1:11" x14ac:dyDescent="0.2">
      <c r="B164" s="21"/>
      <c r="C164" s="21"/>
      <c r="D164" s="21"/>
      <c r="E164" s="21"/>
      <c r="F164" s="21"/>
      <c r="G164" s="21"/>
      <c r="H164" s="21"/>
      <c r="I164" s="21"/>
      <c r="J164" s="21"/>
      <c r="K164" s="21"/>
    </row>
    <row r="165" spans="1:11" x14ac:dyDescent="0.2">
      <c r="A165" s="1" t="s">
        <v>100</v>
      </c>
      <c r="B165" s="21">
        <f>80000/10</f>
        <v>8000</v>
      </c>
      <c r="C165" s="21">
        <f>B165</f>
        <v>8000</v>
      </c>
      <c r="D165" s="21">
        <f>C163/9</f>
        <v>7222.2222222222226</v>
      </c>
      <c r="E165" s="21">
        <f>D165</f>
        <v>7222.2222222222226</v>
      </c>
      <c r="F165" s="21">
        <f>E163/8</f>
        <v>8000</v>
      </c>
      <c r="G165" s="21">
        <f>F165</f>
        <v>8000</v>
      </c>
      <c r="H165" s="21">
        <f>G163/7</f>
        <v>6285.7142857142853</v>
      </c>
      <c r="I165" s="21">
        <f>H165</f>
        <v>6285.7142857142853</v>
      </c>
      <c r="J165" s="21">
        <f>I163/6</f>
        <v>4166.666666666667</v>
      </c>
      <c r="K165" s="21">
        <f>J165</f>
        <v>4166.666666666667</v>
      </c>
    </row>
    <row r="166" spans="1:11" x14ac:dyDescent="0.2">
      <c r="A166" s="1" t="s">
        <v>891</v>
      </c>
      <c r="B166" s="21"/>
      <c r="C166" s="21">
        <f>B163-C163</f>
        <v>7000</v>
      </c>
      <c r="D166" s="21"/>
      <c r="E166" s="21"/>
      <c r="F166" s="21"/>
      <c r="G166" s="21">
        <f>F163-G163</f>
        <v>12000</v>
      </c>
      <c r="H166" s="21"/>
      <c r="I166" s="21">
        <f>H163-I163</f>
        <v>12714.28571428571</v>
      </c>
      <c r="J166" s="21"/>
      <c r="K166" s="21"/>
    </row>
    <row r="167" spans="1:11" x14ac:dyDescent="0.2">
      <c r="A167" s="1" t="s">
        <v>892</v>
      </c>
      <c r="B167" s="21"/>
      <c r="C167" s="21"/>
      <c r="D167" s="21"/>
      <c r="E167" s="21">
        <f>D162</f>
        <v>6222.2222222222226</v>
      </c>
      <c r="F167" s="21"/>
      <c r="G167" s="21"/>
      <c r="H167" s="21"/>
      <c r="I167" s="21"/>
      <c r="J167" s="19"/>
      <c r="K167" s="21">
        <f>J162</f>
        <v>19166.666666666664</v>
      </c>
    </row>
    <row r="168" spans="1:11" x14ac:dyDescent="0.2">
      <c r="B168" s="19"/>
      <c r="C168" s="19"/>
      <c r="D168" s="19"/>
      <c r="E168" s="19"/>
      <c r="F168" s="19"/>
      <c r="G168" s="19"/>
      <c r="H168" s="19"/>
      <c r="I168" s="19"/>
      <c r="J168" s="19"/>
      <c r="K168" s="19"/>
    </row>
    <row r="169" spans="1:11" x14ac:dyDescent="0.2">
      <c r="A169" s="1" t="s">
        <v>1340</v>
      </c>
      <c r="B169" s="207"/>
      <c r="C169" s="21">
        <f>B181</f>
        <v>1750</v>
      </c>
      <c r="D169" s="207"/>
      <c r="E169" s="21">
        <f>C181</f>
        <v>0</v>
      </c>
      <c r="F169" s="207"/>
      <c r="G169" s="21">
        <f>D181</f>
        <v>3000</v>
      </c>
      <c r="H169" s="207"/>
      <c r="I169" s="21">
        <f>E181</f>
        <v>5750</v>
      </c>
      <c r="J169" s="207"/>
      <c r="K169" s="19">
        <v>0</v>
      </c>
    </row>
    <row r="170" spans="1:11" x14ac:dyDescent="0.2">
      <c r="A170" s="1" t="s">
        <v>1364</v>
      </c>
      <c r="B170" s="19"/>
      <c r="C170" s="19"/>
      <c r="D170" s="19"/>
      <c r="E170" s="21">
        <f>C169-E169</f>
        <v>1750</v>
      </c>
      <c r="F170" s="19"/>
      <c r="G170" s="19"/>
      <c r="H170" s="19"/>
      <c r="I170" s="19"/>
      <c r="J170" s="19"/>
      <c r="K170" s="21">
        <f>I169-K169</f>
        <v>5750</v>
      </c>
    </row>
    <row r="171" spans="1:11" x14ac:dyDescent="0.2">
      <c r="A171" s="1" t="s">
        <v>1362</v>
      </c>
      <c r="B171" s="19"/>
      <c r="C171" s="21">
        <f>B181</f>
        <v>1750</v>
      </c>
      <c r="D171" s="19"/>
      <c r="E171" s="19"/>
      <c r="F171" s="19"/>
      <c r="G171" s="21">
        <f>G169-E169</f>
        <v>3000</v>
      </c>
      <c r="H171" s="19"/>
      <c r="I171" s="21">
        <f>I169-G169</f>
        <v>2750</v>
      </c>
      <c r="J171" s="19"/>
      <c r="K171" s="19"/>
    </row>
    <row r="175" spans="1:11" x14ac:dyDescent="0.2">
      <c r="A175" s="1" t="s">
        <v>1393</v>
      </c>
      <c r="B175" s="19" t="s">
        <v>998</v>
      </c>
      <c r="C175" s="19" t="s">
        <v>998</v>
      </c>
      <c r="D175" s="19" t="s">
        <v>998</v>
      </c>
      <c r="E175" s="19" t="s">
        <v>998</v>
      </c>
      <c r="F175" s="19" t="s">
        <v>998</v>
      </c>
    </row>
    <row r="176" spans="1:11" x14ac:dyDescent="0.2">
      <c r="B176" s="36">
        <v>40543</v>
      </c>
      <c r="C176" s="36">
        <v>40908</v>
      </c>
      <c r="D176" s="36">
        <v>41274</v>
      </c>
      <c r="E176" s="36">
        <v>41639</v>
      </c>
      <c r="F176" s="36">
        <v>42004</v>
      </c>
    </row>
    <row r="177" spans="1:6" x14ac:dyDescent="0.2">
      <c r="A177" s="1" t="s">
        <v>1369</v>
      </c>
      <c r="B177" s="21">
        <f>C163</f>
        <v>65000</v>
      </c>
      <c r="C177" s="21">
        <f>E163</f>
        <v>64000</v>
      </c>
      <c r="D177" s="21">
        <f>G163</f>
        <v>44000</v>
      </c>
      <c r="E177" s="21">
        <f>I163</f>
        <v>25000</v>
      </c>
      <c r="F177" s="21">
        <f>K163</f>
        <v>40000</v>
      </c>
    </row>
    <row r="178" spans="1:6" x14ac:dyDescent="0.2">
      <c r="A178" s="1" t="s">
        <v>1054</v>
      </c>
      <c r="B178" s="21">
        <f>80000-80000/10</f>
        <v>72000</v>
      </c>
      <c r="C178" s="21">
        <f>80000-80000/10*2</f>
        <v>64000</v>
      </c>
      <c r="D178" s="21">
        <f>C178-8000</f>
        <v>56000</v>
      </c>
      <c r="E178" s="21">
        <f>D178-8000</f>
        <v>48000</v>
      </c>
      <c r="F178" s="21">
        <f>E178-8000</f>
        <v>40000</v>
      </c>
    </row>
    <row r="179" spans="1:6" x14ac:dyDescent="0.2">
      <c r="A179" s="1" t="s">
        <v>1339</v>
      </c>
      <c r="B179" s="22">
        <f>B177-B178</f>
        <v>-7000</v>
      </c>
      <c r="C179" s="22">
        <f>C177-C178</f>
        <v>0</v>
      </c>
      <c r="D179" s="22">
        <f>D177-D178</f>
        <v>-12000</v>
      </c>
      <c r="E179" s="22">
        <f>E177-E178</f>
        <v>-23000</v>
      </c>
      <c r="F179" s="22">
        <f>F177-F178</f>
        <v>0</v>
      </c>
    </row>
    <row r="180" spans="1:6" x14ac:dyDescent="0.2">
      <c r="A180" s="1" t="s">
        <v>1056</v>
      </c>
      <c r="B180" s="183">
        <v>0.25</v>
      </c>
      <c r="C180" s="183">
        <v>0.25</v>
      </c>
      <c r="D180" s="183">
        <v>0.25</v>
      </c>
      <c r="E180" s="183">
        <v>0.25</v>
      </c>
      <c r="F180" s="183">
        <v>0.25</v>
      </c>
    </row>
    <row r="181" spans="1:6" x14ac:dyDescent="0.2">
      <c r="A181" s="1" t="s">
        <v>1340</v>
      </c>
      <c r="B181" s="22">
        <f>-B179*B180</f>
        <v>1750</v>
      </c>
      <c r="C181" s="22">
        <f t="shared" ref="C181:F181" si="17">-C179*C180</f>
        <v>0</v>
      </c>
      <c r="D181" s="22">
        <f t="shared" si="17"/>
        <v>3000</v>
      </c>
      <c r="E181" s="22">
        <f t="shared" si="17"/>
        <v>5750</v>
      </c>
      <c r="F181" s="22">
        <f t="shared" si="17"/>
        <v>0</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17</vt:i4>
      </vt:variant>
    </vt:vector>
  </HeadingPairs>
  <TitlesOfParts>
    <vt:vector size="17" baseType="lpstr">
      <vt:lpstr>Sheet1</vt:lpstr>
      <vt:lpstr>Sheet2</vt:lpstr>
      <vt:lpstr>Sheet3</vt:lpstr>
      <vt:lpstr>Sheet4</vt:lpstr>
      <vt:lpstr>Sheet5</vt:lpstr>
      <vt:lpstr>Sheet6</vt:lpstr>
      <vt:lpstr>Sheet7</vt:lpstr>
      <vt:lpstr>Lecture 8</vt:lpstr>
      <vt:lpstr>Lecture 8נ</vt:lpstr>
      <vt:lpstr>Lecture 9b</vt:lpstr>
      <vt:lpstr>Lecture9bExercise</vt:lpstr>
      <vt:lpstr>Lecture 9 part C</vt:lpstr>
      <vt:lpstr>Lecture 9 part 3</vt:lpstr>
      <vt:lpstr>Lecture10a</vt:lpstr>
      <vt:lpstr>Lecture 10b</vt:lpstr>
      <vt:lpstr>Lecture 12</vt:lpstr>
      <vt:lpstr>Lecture 13</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Shay Tsaban</dc:creator>
  <cp:lastModifiedBy>Shay Tsaban</cp:lastModifiedBy>
  <dcterms:created xsi:type="dcterms:W3CDTF">2025-03-13T11:07:02Z</dcterms:created>
  <dcterms:modified xsi:type="dcterms:W3CDTF">2025-06-26T12:22:13Z</dcterms:modified>
</cp:coreProperties>
</file>